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Stupa\Documents\SP 2025-2026\Vorlagen\"/>
    </mc:Choice>
  </mc:AlternateContent>
  <xr:revisionPtr revIDLastSave="0" documentId="13_ncr:1_{601A0303-8121-43C2-9985-BEC449922C6A}" xr6:coauthVersionLast="36" xr6:coauthVersionMax="47" xr10:uidLastSave="{00000000-0000-0000-0000-000000000000}"/>
  <bookViews>
    <workbookView xWindow="0" yWindow="0" windowWidth="28800" windowHeight="13905" tabRatio="500" activeTab="2" xr2:uid="{00000000-000D-0000-FFFF-FFFF00000000}"/>
  </bookViews>
  <sheets>
    <sheet name="Deckblatt" sheetId="1" r:id="rId1"/>
    <sheet name="Erläuterungen" sheetId="2" r:id="rId2"/>
    <sheet name="HH Aufgaben VS" sheetId="3" r:id="rId3"/>
    <sheet name="Semesterticket" sheetId="4" r:id="rId4"/>
    <sheet name="SeTiHäFo" sheetId="5" r:id="rId5"/>
  </sheets>
  <externalReferences>
    <externalReference r:id="rId6"/>
  </externalReferences>
  <definedNames>
    <definedName name="_xlnm.Print_Area" localSheetId="0">Deckblatt!$A$1:$A$15</definedName>
    <definedName name="_xlnm.Print_Area" localSheetId="1">Erläuterungen!$A$1:$I$26</definedName>
    <definedName name="_xlnm.Print_Area" localSheetId="2">'HH Aufgaben VS'!$A$1:$AK$431</definedName>
    <definedName name="_xlnm.Print_Area" localSheetId="3">Semesterticket!$A$1:$D$12</definedName>
    <definedName name="_xlnm.Print_Area" localSheetId="4">SeTiHäFo!$A$1:$P$18</definedName>
  </definedNames>
  <calcPr calcId="191029"/>
</workbook>
</file>

<file path=xl/calcChain.xml><?xml version="1.0" encoding="utf-8"?>
<calcChain xmlns="http://schemas.openxmlformats.org/spreadsheetml/2006/main">
  <c r="AJ25" i="3" l="1"/>
  <c r="AJ86" i="3" l="1"/>
  <c r="AJ26" i="3"/>
  <c r="AJ24" i="3"/>
  <c r="AJ426" i="3"/>
  <c r="AJ405" i="3"/>
  <c r="AJ425" i="3" s="1"/>
  <c r="AJ403" i="3"/>
  <c r="AJ399" i="3"/>
  <c r="AJ424" i="3" s="1"/>
  <c r="AJ387" i="3"/>
  <c r="AJ379" i="3"/>
  <c r="AJ389" i="3" s="1"/>
  <c r="AJ423" i="3" s="1"/>
  <c r="AJ363" i="3"/>
  <c r="AJ367" i="3" s="1"/>
  <c r="AJ358" i="3"/>
  <c r="AJ354" i="3"/>
  <c r="AJ350" i="3"/>
  <c r="AJ331" i="3"/>
  <c r="AJ297" i="3"/>
  <c r="AJ289" i="3"/>
  <c r="AJ283" i="3"/>
  <c r="AJ270" i="3"/>
  <c r="AJ371" i="3" s="1"/>
  <c r="AJ422" i="3" s="1"/>
  <c r="AJ264" i="3"/>
  <c r="AJ253" i="3"/>
  <c r="AJ252" i="3"/>
  <c r="AJ254" i="3" s="1"/>
  <c r="AJ244" i="3"/>
  <c r="AJ235" i="3"/>
  <c r="AJ228" i="3"/>
  <c r="AJ227" i="3"/>
  <c r="AJ226" i="3"/>
  <c r="AJ223" i="3"/>
  <c r="AJ220" i="3"/>
  <c r="AJ219" i="3"/>
  <c r="AJ218" i="3"/>
  <c r="AJ213" i="3"/>
  <c r="AJ211" i="3" s="1"/>
  <c r="AJ212" i="3"/>
  <c r="AJ207" i="3"/>
  <c r="AJ206" i="3"/>
  <c r="AJ208" i="3" s="1"/>
  <c r="AJ199" i="3"/>
  <c r="AJ190" i="3"/>
  <c r="AJ201" i="3" s="1"/>
  <c r="AJ419" i="3" s="1"/>
  <c r="AJ189" i="3"/>
  <c r="AJ188" i="3"/>
  <c r="AJ186" i="3"/>
  <c r="AJ185" i="3"/>
  <c r="AJ184" i="3"/>
  <c r="AJ183" i="3"/>
  <c r="AJ182" i="3"/>
  <c r="AJ172" i="3"/>
  <c r="AJ151" i="3"/>
  <c r="AJ137" i="3"/>
  <c r="AJ121" i="3"/>
  <c r="AJ118" i="3"/>
  <c r="AJ119" i="3" s="1"/>
  <c r="AJ117" i="3"/>
  <c r="AJ106" i="3"/>
  <c r="AJ105" i="3"/>
  <c r="AJ107" i="3" s="1"/>
  <c r="AJ100" i="3"/>
  <c r="AJ101" i="3" s="1"/>
  <c r="AJ99" i="3"/>
  <c r="AJ95" i="3"/>
  <c r="AJ88" i="3"/>
  <c r="AJ87" i="3"/>
  <c r="AJ89" i="3"/>
  <c r="AJ80" i="3"/>
  <c r="AJ82" i="3" s="1"/>
  <c r="AJ79" i="3"/>
  <c r="AJ74" i="3"/>
  <c r="AJ73" i="3"/>
  <c r="AJ75" i="3" s="1"/>
  <c r="AJ68" i="3"/>
  <c r="AJ67" i="3"/>
  <c r="AJ69" i="3" s="1"/>
  <c r="AJ63" i="3"/>
  <c r="AJ62" i="3"/>
  <c r="AJ57" i="3"/>
  <c r="AJ54" i="3"/>
  <c r="AJ58" i="3" s="1"/>
  <c r="AJ49" i="3"/>
  <c r="AJ48" i="3"/>
  <c r="AJ123" i="3" s="1"/>
  <c r="AJ47" i="3"/>
  <c r="AJ125" i="3" s="1"/>
  <c r="AJ42" i="3"/>
  <c r="AJ41" i="3"/>
  <c r="AJ43" i="3" s="1"/>
  <c r="AJ17" i="3"/>
  <c r="AJ413" i="3" s="1"/>
  <c r="AI363" i="3"/>
  <c r="AI40" i="3"/>
  <c r="AI106" i="3"/>
  <c r="AH106" i="3"/>
  <c r="AJ27" i="3" l="1"/>
  <c r="AJ31" i="3" s="1"/>
  <c r="AJ414" i="3" s="1"/>
  <c r="AJ237" i="3"/>
  <c r="AJ420" i="3" s="1"/>
  <c r="AJ266" i="3"/>
  <c r="AJ421" i="3" s="1"/>
  <c r="AJ50" i="3"/>
  <c r="AJ177" i="3" s="1"/>
  <c r="AJ122" i="3"/>
  <c r="AJ124" i="3" s="1"/>
  <c r="AI375" i="3"/>
  <c r="AI259" i="3"/>
  <c r="AI248" i="3"/>
  <c r="AI253" i="3"/>
  <c r="AI26" i="3"/>
  <c r="AI25" i="3"/>
  <c r="AI426" i="3"/>
  <c r="AI403" i="3"/>
  <c r="AI405" i="3" s="1"/>
  <c r="AI425" i="3" s="1"/>
  <c r="AI399" i="3"/>
  <c r="AI424" i="3" s="1"/>
  <c r="AI387" i="3"/>
  <c r="AI379" i="3"/>
  <c r="AI367" i="3"/>
  <c r="AI358" i="3"/>
  <c r="AI354" i="3"/>
  <c r="AI350" i="3"/>
  <c r="AI331" i="3"/>
  <c r="AI297" i="3"/>
  <c r="AI289" i="3"/>
  <c r="AI283" i="3"/>
  <c r="AI270" i="3"/>
  <c r="AI264" i="3"/>
  <c r="AI252" i="3"/>
  <c r="AI254" i="3" s="1"/>
  <c r="AI244" i="3"/>
  <c r="AI235" i="3"/>
  <c r="AI228" i="3"/>
  <c r="AI227" i="3"/>
  <c r="AI226" i="3"/>
  <c r="AI223" i="3"/>
  <c r="AI220" i="3"/>
  <c r="AI219" i="3"/>
  <c r="AI213" i="3"/>
  <c r="AI212" i="3"/>
  <c r="AI211" i="3" s="1"/>
  <c r="AI207" i="3"/>
  <c r="AI206" i="3"/>
  <c r="AI208" i="3" s="1"/>
  <c r="AI199" i="3"/>
  <c r="AI189" i="3"/>
  <c r="AI188" i="3"/>
  <c r="AI186" i="3"/>
  <c r="AI185" i="3"/>
  <c r="AI184" i="3"/>
  <c r="AI183" i="3"/>
  <c r="AI182" i="3"/>
  <c r="AI172" i="3"/>
  <c r="AI151" i="3"/>
  <c r="AI137" i="3"/>
  <c r="AI125" i="3"/>
  <c r="AI121" i="3"/>
  <c r="AI105" i="3"/>
  <c r="AI107" i="3" s="1"/>
  <c r="AI100" i="3"/>
  <c r="AI99" i="3"/>
  <c r="AI101" i="3" s="1"/>
  <c r="AI95" i="3"/>
  <c r="AI88" i="3"/>
  <c r="AI87" i="3"/>
  <c r="AI86" i="3"/>
  <c r="AI89" i="3" s="1"/>
  <c r="AI80" i="3"/>
  <c r="AI79" i="3"/>
  <c r="AI82" i="3" s="1"/>
  <c r="AI74" i="3"/>
  <c r="AI73" i="3"/>
  <c r="AI75" i="3" s="1"/>
  <c r="AI68" i="3"/>
  <c r="AI67" i="3"/>
  <c r="AI69" i="3" s="1"/>
  <c r="AI62" i="3"/>
  <c r="AI63" i="3" s="1"/>
  <c r="AI57" i="3"/>
  <c r="AI54" i="3"/>
  <c r="AI58" i="3" s="1"/>
  <c r="AI49" i="3"/>
  <c r="AI48" i="3"/>
  <c r="AI47" i="3"/>
  <c r="AI42" i="3"/>
  <c r="AI41" i="3"/>
  <c r="AI24" i="3"/>
  <c r="AI17" i="3"/>
  <c r="AI413" i="3" s="1"/>
  <c r="AH17" i="3"/>
  <c r="AH413" i="3" s="1"/>
  <c r="AH24" i="3"/>
  <c r="AH27" i="3" s="1"/>
  <c r="AH31" i="3" s="1"/>
  <c r="AH414" i="3" s="1"/>
  <c r="AH25" i="3"/>
  <c r="AH26" i="3"/>
  <c r="AH40" i="3"/>
  <c r="AH41" i="3"/>
  <c r="AH42" i="3"/>
  <c r="AH47" i="3"/>
  <c r="AH48" i="3"/>
  <c r="AH49" i="3"/>
  <c r="AH54" i="3"/>
  <c r="AH57" i="3"/>
  <c r="AH62" i="3"/>
  <c r="AH63" i="3"/>
  <c r="AH67" i="3"/>
  <c r="AH68" i="3"/>
  <c r="AH73" i="3"/>
  <c r="AH74" i="3"/>
  <c r="AH79" i="3"/>
  <c r="AH80" i="3"/>
  <c r="AH86" i="3"/>
  <c r="AH87" i="3"/>
  <c r="AH88" i="3"/>
  <c r="AH95" i="3"/>
  <c r="AH99" i="3"/>
  <c r="AH100" i="3"/>
  <c r="AH105" i="3"/>
  <c r="AH107" i="3"/>
  <c r="AH121" i="3"/>
  <c r="AH137" i="3"/>
  <c r="AH151" i="3"/>
  <c r="AH172" i="3"/>
  <c r="AH182" i="3"/>
  <c r="AH183" i="3"/>
  <c r="AH184" i="3"/>
  <c r="AH185" i="3"/>
  <c r="AH186" i="3"/>
  <c r="AH188" i="3"/>
  <c r="AH189" i="3"/>
  <c r="AH199" i="3"/>
  <c r="AH206" i="3"/>
  <c r="AH207" i="3"/>
  <c r="AH212" i="3"/>
  <c r="AH213" i="3"/>
  <c r="AH219" i="3"/>
  <c r="AH220" i="3"/>
  <c r="AH223" i="3"/>
  <c r="AH218" i="3" s="1"/>
  <c r="AH227" i="3"/>
  <c r="AH228" i="3"/>
  <c r="AH235" i="3"/>
  <c r="AH244" i="3"/>
  <c r="AH252" i="3"/>
  <c r="AH254" i="3"/>
  <c r="AH264" i="3"/>
  <c r="AH270" i="3"/>
  <c r="AH283" i="3"/>
  <c r="AH289" i="3"/>
  <c r="AH297" i="3"/>
  <c r="AH331" i="3"/>
  <c r="AH350" i="3"/>
  <c r="AH354" i="3"/>
  <c r="AH358" i="3"/>
  <c r="AH363" i="3"/>
  <c r="AH367" i="3"/>
  <c r="AH375" i="3"/>
  <c r="AH379" i="3" s="1"/>
  <c r="AH385" i="3"/>
  <c r="AH387" i="3" s="1"/>
  <c r="AH399" i="3"/>
  <c r="AH424" i="3" s="1"/>
  <c r="AH403" i="3"/>
  <c r="AH405" i="3" s="1"/>
  <c r="AH425" i="3" s="1"/>
  <c r="AH426" i="3"/>
  <c r="AJ411" i="3" l="1"/>
  <c r="AJ418" i="3"/>
  <c r="AJ427" i="3" s="1"/>
  <c r="AJ430" i="3" s="1"/>
  <c r="AJ33" i="3" s="1"/>
  <c r="AH125" i="3"/>
  <c r="AI50" i="3"/>
  <c r="AI27" i="3"/>
  <c r="AI31" i="3" s="1"/>
  <c r="AI414" i="3" s="1"/>
  <c r="AI389" i="3"/>
  <c r="AI423" i="3" s="1"/>
  <c r="AI371" i="3"/>
  <c r="AI422" i="3" s="1"/>
  <c r="AH69" i="3"/>
  <c r="AH211" i="3"/>
  <c r="AH58" i="3"/>
  <c r="AI190" i="3"/>
  <c r="AI201" i="3" s="1"/>
  <c r="AI419" i="3" s="1"/>
  <c r="AH266" i="3"/>
  <c r="AH421" i="3" s="1"/>
  <c r="AH43" i="3"/>
  <c r="AI122" i="3"/>
  <c r="AI124" i="3" s="1"/>
  <c r="AH82" i="3"/>
  <c r="AH208" i="3"/>
  <c r="AH237" i="3" s="1"/>
  <c r="AH420" i="3" s="1"/>
  <c r="AI218" i="3"/>
  <c r="AH101" i="3"/>
  <c r="AI123" i="3"/>
  <c r="AH190" i="3"/>
  <c r="AH201" i="3" s="1"/>
  <c r="AH419" i="3" s="1"/>
  <c r="AI237" i="3"/>
  <c r="AI420" i="3" s="1"/>
  <c r="AI266" i="3"/>
  <c r="AI421" i="3" s="1"/>
  <c r="AI43" i="3"/>
  <c r="AI177" i="3" s="1"/>
  <c r="AH50" i="3"/>
  <c r="AH75" i="3"/>
  <c r="AH122" i="3"/>
  <c r="AH389" i="3"/>
  <c r="AH423" i="3" s="1"/>
  <c r="AH371" i="3"/>
  <c r="AH422" i="3" s="1"/>
  <c r="AH89" i="3"/>
  <c r="AH226" i="3"/>
  <c r="AH123" i="3"/>
  <c r="AF363" i="3"/>
  <c r="AJ415" i="3" l="1"/>
  <c r="AJ35" i="3"/>
  <c r="AJ416" i="3" s="1"/>
  <c r="AJ429" i="3" s="1"/>
  <c r="AJ431" i="3" s="1"/>
  <c r="AH124" i="3"/>
  <c r="AH177" i="3"/>
  <c r="AI418" i="3"/>
  <c r="AI427" i="3" s="1"/>
  <c r="AI430" i="3" s="1"/>
  <c r="AI33" i="3" s="1"/>
  <c r="AI411" i="3"/>
  <c r="AH418" i="3"/>
  <c r="AH427" i="3" s="1"/>
  <c r="AH430" i="3" s="1"/>
  <c r="AH33" i="3" s="1"/>
  <c r="AH411" i="3"/>
  <c r="AA415" i="3"/>
  <c r="AA425" i="3"/>
  <c r="AA426" i="3"/>
  <c r="AA399" i="3"/>
  <c r="AA424" i="3" s="1"/>
  <c r="AA387" i="3"/>
  <c r="AA379" i="3"/>
  <c r="AA389" i="3" s="1"/>
  <c r="AA423" i="3" s="1"/>
  <c r="AA367" i="3"/>
  <c r="AA358" i="3"/>
  <c r="AA354" i="3"/>
  <c r="AA350" i="3"/>
  <c r="AA331" i="3"/>
  <c r="AA297" i="3"/>
  <c r="AA289" i="3"/>
  <c r="AA283" i="3"/>
  <c r="AA264" i="3"/>
  <c r="AA254" i="3"/>
  <c r="AA244" i="3"/>
  <c r="AA235" i="3"/>
  <c r="AA229" i="3"/>
  <c r="AA223" i="3"/>
  <c r="AA215" i="3"/>
  <c r="AA208" i="3"/>
  <c r="AA199" i="3"/>
  <c r="AA190" i="3"/>
  <c r="AA201" i="3" s="1"/>
  <c r="AA419" i="3" s="1"/>
  <c r="AA172" i="3"/>
  <c r="AA151" i="3"/>
  <c r="AA137" i="3"/>
  <c r="AA122" i="3"/>
  <c r="AA123" i="3"/>
  <c r="AA125" i="3"/>
  <c r="AA121" i="3"/>
  <c r="AA107" i="3"/>
  <c r="AA101" i="3"/>
  <c r="AA95" i="3"/>
  <c r="AA89" i="3"/>
  <c r="AA75" i="3"/>
  <c r="AA69" i="3"/>
  <c r="AA63" i="3"/>
  <c r="AA58" i="3"/>
  <c r="AA50" i="3"/>
  <c r="AA43" i="3"/>
  <c r="AA17" i="3"/>
  <c r="AA413" i="3" s="1"/>
  <c r="AA27" i="3"/>
  <c r="AA31" i="3" s="1"/>
  <c r="AA414" i="3" s="1"/>
  <c r="AA371" i="3" l="1"/>
  <c r="AA422" i="3" s="1"/>
  <c r="AI415" i="3"/>
  <c r="AI35" i="3"/>
  <c r="AI416" i="3" s="1"/>
  <c r="AI429" i="3" s="1"/>
  <c r="AI431" i="3" s="1"/>
  <c r="AA237" i="3"/>
  <c r="AA420" i="3" s="1"/>
  <c r="AH415" i="3"/>
  <c r="AH35" i="3"/>
  <c r="AH416" i="3" s="1"/>
  <c r="AH429" i="3" s="1"/>
  <c r="AH431" i="3" s="1"/>
  <c r="AA266" i="3"/>
  <c r="AA421" i="3" s="1"/>
  <c r="AA177" i="3"/>
  <c r="AA411" i="3" s="1"/>
  <c r="AA124" i="3"/>
  <c r="AA35" i="3"/>
  <c r="AA416" i="3" s="1"/>
  <c r="AA429" i="3" s="1"/>
  <c r="AG229" i="3"/>
  <c r="AG223" i="3"/>
  <c r="AG215" i="3"/>
  <c r="AA418" i="3" l="1"/>
  <c r="AA427" i="3" s="1"/>
  <c r="AA430" i="3" s="1"/>
  <c r="AA431" i="3" s="1"/>
  <c r="AE140" i="3"/>
  <c r="AE222" i="3"/>
  <c r="AE223" i="3" s="1"/>
  <c r="AE229" i="3"/>
  <c r="AE215" i="3"/>
  <c r="AC423" i="3" l="1"/>
  <c r="AC422" i="3"/>
  <c r="AC421" i="3"/>
  <c r="AC419" i="3"/>
  <c r="AC415" i="3"/>
  <c r="AC237" i="3"/>
  <c r="AC420" i="3" s="1"/>
  <c r="AC151" i="3"/>
  <c r="AC137" i="3"/>
  <c r="AC125" i="3"/>
  <c r="AC123" i="3"/>
  <c r="AC122" i="3"/>
  <c r="AC121" i="3"/>
  <c r="AC27" i="3"/>
  <c r="AC31" i="3" s="1"/>
  <c r="AC414" i="3" s="1"/>
  <c r="AC17" i="3"/>
  <c r="AE415" i="3"/>
  <c r="AE387" i="3"/>
  <c r="AE379" i="3"/>
  <c r="AE367" i="3"/>
  <c r="AE358" i="3"/>
  <c r="AE354" i="3"/>
  <c r="AE350" i="3"/>
  <c r="AE331" i="3"/>
  <c r="AE297" i="3"/>
  <c r="AE289" i="3"/>
  <c r="AE283" i="3"/>
  <c r="AE270" i="3"/>
  <c r="AE264" i="3"/>
  <c r="AE254" i="3"/>
  <c r="AE244" i="3"/>
  <c r="AE235" i="3"/>
  <c r="AE208" i="3"/>
  <c r="AE199" i="3"/>
  <c r="AE190" i="3"/>
  <c r="AE172" i="3"/>
  <c r="AE151" i="3"/>
  <c r="AE137" i="3"/>
  <c r="AE107" i="3"/>
  <c r="AE101" i="3"/>
  <c r="AE95" i="3"/>
  <c r="AE89" i="3"/>
  <c r="AE82" i="3"/>
  <c r="AE75" i="3"/>
  <c r="AE69" i="3"/>
  <c r="AE63" i="3"/>
  <c r="AE58" i="3"/>
  <c r="AE50" i="3"/>
  <c r="AE43" i="3"/>
  <c r="AE27" i="3"/>
  <c r="AE31" i="3" s="1"/>
  <c r="AE414" i="3" s="1"/>
  <c r="AE17" i="3"/>
  <c r="AC177" i="3" l="1"/>
  <c r="AC418" i="3" s="1"/>
  <c r="AC427" i="3" s="1"/>
  <c r="AC430" i="3" s="1"/>
  <c r="AE201" i="3"/>
  <c r="AE419" i="3" s="1"/>
  <c r="AE266" i="3"/>
  <c r="AE421" i="3" s="1"/>
  <c r="AE35" i="3"/>
  <c r="AE416" i="3" s="1"/>
  <c r="AE429" i="3" s="1"/>
  <c r="AC35" i="3"/>
  <c r="AC416" i="3" s="1"/>
  <c r="AC429" i="3" s="1"/>
  <c r="AE237" i="3"/>
  <c r="AE420" i="3" s="1"/>
  <c r="AE371" i="3"/>
  <c r="AE422" i="3" s="1"/>
  <c r="AE177" i="3"/>
  <c r="AE418" i="3" s="1"/>
  <c r="AC124" i="3"/>
  <c r="AE389" i="3"/>
  <c r="AE423" i="3" s="1"/>
  <c r="AC413" i="3"/>
  <c r="AE413" i="3"/>
  <c r="AG140" i="3"/>
  <c r="AG151" i="3" s="1"/>
  <c r="AG172" i="3"/>
  <c r="AG387" i="3"/>
  <c r="AG379" i="3"/>
  <c r="AG358" i="3"/>
  <c r="AG354" i="3"/>
  <c r="AG350" i="3"/>
  <c r="AG331" i="3"/>
  <c r="AG297" i="3"/>
  <c r="AG289" i="3"/>
  <c r="AG283" i="3"/>
  <c r="AG270" i="3"/>
  <c r="AG264" i="3"/>
  <c r="AG254" i="3"/>
  <c r="AG244" i="3"/>
  <c r="AG235" i="3"/>
  <c r="AG208" i="3"/>
  <c r="AG199" i="3"/>
  <c r="AG190" i="3"/>
  <c r="AG137" i="3"/>
  <c r="AG107" i="3"/>
  <c r="AG101" i="3"/>
  <c r="AG95" i="3"/>
  <c r="AG89" i="3"/>
  <c r="AG82" i="3"/>
  <c r="AG75" i="3"/>
  <c r="AG69" i="3"/>
  <c r="AG63" i="3"/>
  <c r="AG58" i="3"/>
  <c r="AG50" i="3"/>
  <c r="AG43" i="3"/>
  <c r="AG27" i="3"/>
  <c r="AG31" i="3" s="1"/>
  <c r="AG17" i="3"/>
  <c r="AG367" i="3"/>
  <c r="N11" i="5"/>
  <c r="N15" i="5" s="1"/>
  <c r="K11" i="5"/>
  <c r="O11" i="5"/>
  <c r="M11" i="5"/>
  <c r="O13" i="5"/>
  <c r="O12" i="5"/>
  <c r="N12" i="5"/>
  <c r="N13" i="5"/>
  <c r="M13" i="5"/>
  <c r="M12" i="5"/>
  <c r="M15" i="5" s="1"/>
  <c r="K12" i="5"/>
  <c r="K13" i="5"/>
  <c r="O5" i="5"/>
  <c r="N5" i="5"/>
  <c r="M5" i="5"/>
  <c r="K5" i="5"/>
  <c r="I15" i="5"/>
  <c r="I5" i="5"/>
  <c r="C15" i="5"/>
  <c r="D15" i="5"/>
  <c r="E15" i="5"/>
  <c r="F15" i="5"/>
  <c r="G15" i="5"/>
  <c r="H15" i="5"/>
  <c r="J15" i="5"/>
  <c r="L15" i="5"/>
  <c r="B15" i="5"/>
  <c r="B8" i="5"/>
  <c r="AF403" i="3"/>
  <c r="AF106" i="3"/>
  <c r="AC411" i="3" l="1"/>
  <c r="AC431" i="3"/>
  <c r="O15" i="5"/>
  <c r="AG371" i="3"/>
  <c r="AG389" i="3"/>
  <c r="AG201" i="3"/>
  <c r="AE427" i="3"/>
  <c r="AE430" i="3" s="1"/>
  <c r="AE431" i="3" s="1"/>
  <c r="AG237" i="3"/>
  <c r="AG266" i="3"/>
  <c r="AE411" i="3"/>
  <c r="AG177" i="3"/>
  <c r="AG418" i="3" s="1"/>
  <c r="AG35" i="3"/>
  <c r="K15" i="5"/>
  <c r="B17" i="5"/>
  <c r="C4" i="5" s="1"/>
  <c r="C8" i="5" s="1"/>
  <c r="C17" i="5" s="1"/>
  <c r="D4" i="5" s="1"/>
  <c r="D8" i="5" s="1"/>
  <c r="D17" i="5" s="1"/>
  <c r="E4" i="5" s="1"/>
  <c r="E8" i="5" s="1"/>
  <c r="E17" i="5" s="1"/>
  <c r="F4" i="5" s="1"/>
  <c r="F8" i="5" s="1"/>
  <c r="F17" i="5" s="1"/>
  <c r="G4" i="5" s="1"/>
  <c r="G8" i="5" s="1"/>
  <c r="G17" i="5" s="1"/>
  <c r="H4" i="5" s="1"/>
  <c r="H8" i="5" s="1"/>
  <c r="H17" i="5" s="1"/>
  <c r="AF252" i="3"/>
  <c r="AF223" i="3"/>
  <c r="I4" i="5" l="1"/>
  <c r="J4" i="5"/>
  <c r="J8" i="5" s="1"/>
  <c r="J17" i="5" s="1"/>
  <c r="L8" i="5" s="1"/>
  <c r="L17" i="5" s="1"/>
  <c r="AF99" i="3"/>
  <c r="AF73" i="3"/>
  <c r="AF54" i="3"/>
  <c r="AF48" i="3"/>
  <c r="I8" i="5" l="1"/>
  <c r="I17" i="5" s="1"/>
  <c r="K4" i="5" s="1"/>
  <c r="K8" i="5" s="1"/>
  <c r="K17" i="5" s="1"/>
  <c r="M4" i="5" s="1"/>
  <c r="M8" i="5" s="1"/>
  <c r="M17" i="5" s="1"/>
  <c r="N4" i="5" s="1"/>
  <c r="N8" i="5" s="1"/>
  <c r="N17" i="5" s="1"/>
  <c r="O4" i="5" s="1"/>
  <c r="O8" i="5" s="1"/>
  <c r="O17" i="5" s="1"/>
  <c r="AF25" i="3"/>
  <c r="AF26" i="3"/>
  <c r="AF24" i="3"/>
  <c r="AF228" i="3"/>
  <c r="AF227" i="3"/>
  <c r="AF220" i="3"/>
  <c r="AF219" i="3"/>
  <c r="AF212" i="3" l="1"/>
  <c r="AF213" i="3"/>
  <c r="AF207" i="3"/>
  <c r="AF206" i="3" l="1"/>
  <c r="AF208" i="3" s="1"/>
  <c r="C9" i="4"/>
  <c r="B9" i="4"/>
  <c r="C8" i="4"/>
  <c r="B8" i="4"/>
  <c r="C5" i="4"/>
  <c r="B5" i="4"/>
  <c r="C4" i="4"/>
  <c r="B4" i="4"/>
  <c r="AF100" i="3"/>
  <c r="AF80" i="3"/>
  <c r="AG423" i="3"/>
  <c r="AG422" i="3"/>
  <c r="AG421" i="3"/>
  <c r="AG420" i="3"/>
  <c r="AG419" i="3"/>
  <c r="AG415" i="3"/>
  <c r="AG413" i="3"/>
  <c r="AG411" i="3"/>
  <c r="AG414" i="3"/>
  <c r="AF87" i="3"/>
  <c r="AF62" i="3"/>
  <c r="AF68" i="3"/>
  <c r="AG416" i="3" l="1"/>
  <c r="AG429" i="3" s="1"/>
  <c r="AG427" i="3"/>
  <c r="AG430" i="3" s="1"/>
  <c r="AG431" i="3" l="1"/>
  <c r="AF47" i="3"/>
  <c r="AF385" i="3"/>
  <c r="AF387" i="3" s="1"/>
  <c r="AF74" i="3"/>
  <c r="AF57" i="3"/>
  <c r="AF49" i="3"/>
  <c r="AF254" i="3"/>
  <c r="AF105" i="3"/>
  <c r="AF86" i="3"/>
  <c r="AF79" i="3"/>
  <c r="AF67" i="3"/>
  <c r="AF41" i="3"/>
  <c r="N430" i="3"/>
  <c r="N431" i="3" s="1"/>
  <c r="AF426" i="3"/>
  <c r="AD426" i="3"/>
  <c r="AB426" i="3"/>
  <c r="Z426" i="3"/>
  <c r="X426" i="3"/>
  <c r="V426" i="3"/>
  <c r="T426" i="3"/>
  <c r="S426" i="3"/>
  <c r="R426" i="3"/>
  <c r="P426" i="3"/>
  <c r="O426" i="3"/>
  <c r="N426" i="3"/>
  <c r="M426" i="3"/>
  <c r="L426" i="3"/>
  <c r="K426" i="3"/>
  <c r="J426" i="3"/>
  <c r="I426" i="3"/>
  <c r="AD425" i="3"/>
  <c r="AB425" i="3"/>
  <c r="Z425" i="3"/>
  <c r="X425" i="3"/>
  <c r="V425" i="3"/>
  <c r="T425" i="3"/>
  <c r="S425" i="3"/>
  <c r="L425" i="3"/>
  <c r="J425" i="3"/>
  <c r="I425" i="3"/>
  <c r="V424" i="3"/>
  <c r="T424" i="3"/>
  <c r="S424" i="3"/>
  <c r="R424" i="3"/>
  <c r="P424" i="3"/>
  <c r="L424" i="3"/>
  <c r="J424" i="3"/>
  <c r="Y423" i="3"/>
  <c r="Y422" i="3"/>
  <c r="Y421" i="3"/>
  <c r="Y419" i="3"/>
  <c r="P419" i="3"/>
  <c r="J419" i="3"/>
  <c r="Y415" i="3"/>
  <c r="W415" i="3"/>
  <c r="S415" i="3"/>
  <c r="R415" i="3"/>
  <c r="P415" i="3"/>
  <c r="O415" i="3"/>
  <c r="N415" i="3"/>
  <c r="M415" i="3"/>
  <c r="L415" i="3"/>
  <c r="J415" i="3"/>
  <c r="I415" i="3"/>
  <c r="R405" i="3"/>
  <c r="R425" i="3" s="1"/>
  <c r="P405" i="3"/>
  <c r="P425" i="3" s="1"/>
  <c r="O405" i="3"/>
  <c r="O425" i="3" s="1"/>
  <c r="N405" i="3"/>
  <c r="N425" i="3" s="1"/>
  <c r="M405" i="3"/>
  <c r="M425" i="3" s="1"/>
  <c r="L405" i="3"/>
  <c r="K405" i="3"/>
  <c r="K425" i="3" s="1"/>
  <c r="J405" i="3"/>
  <c r="I405" i="3"/>
  <c r="AF399" i="3"/>
  <c r="AF424" i="3" s="1"/>
  <c r="AD399" i="3"/>
  <c r="AD424" i="3" s="1"/>
  <c r="AB399" i="3"/>
  <c r="AB424" i="3" s="1"/>
  <c r="Z399" i="3"/>
  <c r="Z424" i="3" s="1"/>
  <c r="X399" i="3"/>
  <c r="X424" i="3" s="1"/>
  <c r="O399" i="3"/>
  <c r="O424" i="3" s="1"/>
  <c r="N399" i="3"/>
  <c r="N424" i="3" s="1"/>
  <c r="M399" i="3"/>
  <c r="M424" i="3" s="1"/>
  <c r="K399" i="3"/>
  <c r="K424" i="3" s="1"/>
  <c r="I399" i="3"/>
  <c r="I424" i="3" s="1"/>
  <c r="Z387" i="3"/>
  <c r="X387" i="3"/>
  <c r="W387" i="3"/>
  <c r="W389" i="3" s="1"/>
  <c r="W423" i="3" s="1"/>
  <c r="V387" i="3"/>
  <c r="T387" i="3"/>
  <c r="S387" i="3"/>
  <c r="R387" i="3"/>
  <c r="P387" i="3"/>
  <c r="O387" i="3"/>
  <c r="N387" i="3"/>
  <c r="M387" i="3"/>
  <c r="L387" i="3"/>
  <c r="K387" i="3"/>
  <c r="J387" i="3"/>
  <c r="I387" i="3"/>
  <c r="AD385" i="3"/>
  <c r="AD387" i="3" s="1"/>
  <c r="AB385" i="3"/>
  <c r="AB387" i="3" s="1"/>
  <c r="X379" i="3"/>
  <c r="V379" i="3"/>
  <c r="T379" i="3"/>
  <c r="S379" i="3"/>
  <c r="R379" i="3"/>
  <c r="P379" i="3"/>
  <c r="O379" i="3"/>
  <c r="N379" i="3"/>
  <c r="M379" i="3"/>
  <c r="L379" i="3"/>
  <c r="K379" i="3"/>
  <c r="J379" i="3"/>
  <c r="I379" i="3"/>
  <c r="AF375" i="3"/>
  <c r="AF379" i="3" s="1"/>
  <c r="AD375" i="3"/>
  <c r="AD379" i="3" s="1"/>
  <c r="AB375" i="3"/>
  <c r="AB379" i="3" s="1"/>
  <c r="Z375" i="3"/>
  <c r="Z379" i="3" s="1"/>
  <c r="W367" i="3"/>
  <c r="R367" i="3"/>
  <c r="P367" i="3"/>
  <c r="O367" i="3"/>
  <c r="N367" i="3"/>
  <c r="M367" i="3"/>
  <c r="L367" i="3"/>
  <c r="K367" i="3"/>
  <c r="J367" i="3"/>
  <c r="I367" i="3"/>
  <c r="AF367" i="3"/>
  <c r="AD363" i="3"/>
  <c r="AD367" i="3" s="1"/>
  <c r="AB363" i="3"/>
  <c r="AB367" i="3" s="1"/>
  <c r="Z363" i="3"/>
  <c r="Z367" i="3" s="1"/>
  <c r="X363" i="3"/>
  <c r="X367" i="3" s="1"/>
  <c r="V363" i="3"/>
  <c r="V367" i="3" s="1"/>
  <c r="T363" i="3"/>
  <c r="T367" i="3" s="1"/>
  <c r="S363" i="3"/>
  <c r="S367" i="3" s="1"/>
  <c r="AF358" i="3"/>
  <c r="AD358" i="3"/>
  <c r="AB358" i="3"/>
  <c r="Z358" i="3"/>
  <c r="X358" i="3"/>
  <c r="W358" i="3"/>
  <c r="V358" i="3"/>
  <c r="T358" i="3"/>
  <c r="S358" i="3"/>
  <c r="R358" i="3"/>
  <c r="P358" i="3"/>
  <c r="O358" i="3"/>
  <c r="N358" i="3"/>
  <c r="M358" i="3"/>
  <c r="L358" i="3"/>
  <c r="K358" i="3"/>
  <c r="J358" i="3"/>
  <c r="I358" i="3"/>
  <c r="AF354" i="3"/>
  <c r="AD354" i="3"/>
  <c r="AB354" i="3"/>
  <c r="Z354" i="3"/>
  <c r="X354" i="3"/>
  <c r="W354" i="3"/>
  <c r="V354" i="3"/>
  <c r="T354" i="3"/>
  <c r="S354" i="3"/>
  <c r="R354" i="3"/>
  <c r="P354" i="3"/>
  <c r="O354" i="3"/>
  <c r="N354" i="3"/>
  <c r="M354" i="3"/>
  <c r="L354" i="3"/>
  <c r="K354" i="3"/>
  <c r="J354" i="3"/>
  <c r="I354" i="3"/>
  <c r="AF350" i="3"/>
  <c r="AD350" i="3"/>
  <c r="AB350" i="3"/>
  <c r="Z350" i="3"/>
  <c r="X350" i="3"/>
  <c r="W350" i="3"/>
  <c r="V350" i="3"/>
  <c r="T350" i="3"/>
  <c r="S350" i="3"/>
  <c r="R350" i="3"/>
  <c r="P350" i="3"/>
  <c r="O350" i="3"/>
  <c r="N350" i="3"/>
  <c r="M350" i="3"/>
  <c r="L350" i="3"/>
  <c r="K350" i="3"/>
  <c r="J350" i="3"/>
  <c r="I350" i="3"/>
  <c r="AF331" i="3"/>
  <c r="AD331" i="3"/>
  <c r="AB331" i="3"/>
  <c r="Z331" i="3"/>
  <c r="X331" i="3"/>
  <c r="W331" i="3"/>
  <c r="V331" i="3"/>
  <c r="T331" i="3"/>
  <c r="S331" i="3"/>
  <c r="R331" i="3"/>
  <c r="P331" i="3"/>
  <c r="O331" i="3"/>
  <c r="N331" i="3"/>
  <c r="M331" i="3"/>
  <c r="L331" i="3"/>
  <c r="K331" i="3"/>
  <c r="J331" i="3"/>
  <c r="I331" i="3"/>
  <c r="AF297" i="3"/>
  <c r="AD297" i="3"/>
  <c r="AB297" i="3"/>
  <c r="Z297" i="3"/>
  <c r="X297" i="3"/>
  <c r="W297" i="3"/>
  <c r="V297" i="3"/>
  <c r="T297" i="3"/>
  <c r="S297" i="3"/>
  <c r="R297" i="3"/>
  <c r="P297" i="3"/>
  <c r="O297" i="3"/>
  <c r="N297" i="3"/>
  <c r="M297" i="3"/>
  <c r="L297" i="3"/>
  <c r="K297" i="3"/>
  <c r="J297" i="3"/>
  <c r="I297" i="3"/>
  <c r="AF289" i="3"/>
  <c r="AD289" i="3"/>
  <c r="AB289" i="3"/>
  <c r="Z289" i="3"/>
  <c r="X289" i="3"/>
  <c r="W289" i="3"/>
  <c r="V289" i="3"/>
  <c r="T289" i="3"/>
  <c r="S289" i="3"/>
  <c r="R289" i="3"/>
  <c r="Q289" i="3"/>
  <c r="P289" i="3"/>
  <c r="O289" i="3"/>
  <c r="N289" i="3"/>
  <c r="M289" i="3"/>
  <c r="L289" i="3"/>
  <c r="K289" i="3"/>
  <c r="J289" i="3"/>
  <c r="I289" i="3"/>
  <c r="AF283" i="3"/>
  <c r="AD283" i="3"/>
  <c r="AB283" i="3"/>
  <c r="Z283" i="3"/>
  <c r="X283" i="3"/>
  <c r="W283" i="3"/>
  <c r="V283" i="3"/>
  <c r="T283" i="3"/>
  <c r="S283" i="3"/>
  <c r="R283" i="3"/>
  <c r="P283" i="3"/>
  <c r="O283" i="3"/>
  <c r="N283" i="3"/>
  <c r="M283" i="3"/>
  <c r="L283" i="3"/>
  <c r="K283" i="3"/>
  <c r="J283" i="3"/>
  <c r="I283" i="3"/>
  <c r="AF270" i="3"/>
  <c r="AD270" i="3"/>
  <c r="AB270" i="3"/>
  <c r="Z270" i="3"/>
  <c r="X270" i="3"/>
  <c r="W270" i="3"/>
  <c r="V270" i="3"/>
  <c r="T270" i="3"/>
  <c r="S270" i="3"/>
  <c r="R270" i="3"/>
  <c r="P270" i="3"/>
  <c r="O270" i="3"/>
  <c r="N270" i="3"/>
  <c r="M270" i="3"/>
  <c r="L270" i="3"/>
  <c r="K270" i="3"/>
  <c r="J270" i="3"/>
  <c r="I270" i="3"/>
  <c r="AF264" i="3"/>
  <c r="AD264" i="3"/>
  <c r="AB264" i="3"/>
  <c r="Z264" i="3"/>
  <c r="X264" i="3"/>
  <c r="W264" i="3"/>
  <c r="R264" i="3"/>
  <c r="P264" i="3"/>
  <c r="N264" i="3"/>
  <c r="L264" i="3"/>
  <c r="J264" i="3"/>
  <c r="I264" i="3"/>
  <c r="T260" i="3"/>
  <c r="S260" i="3"/>
  <c r="T259" i="3"/>
  <c r="S259" i="3"/>
  <c r="W254" i="3"/>
  <c r="T254" i="3"/>
  <c r="S254" i="3"/>
  <c r="R254" i="3"/>
  <c r="P254" i="3"/>
  <c r="N254" i="3"/>
  <c r="L254" i="3"/>
  <c r="J254" i="3"/>
  <c r="I254" i="3"/>
  <c r="AD253" i="3"/>
  <c r="V253" i="3"/>
  <c r="X252" i="3"/>
  <c r="Z252" i="3" s="1"/>
  <c r="V252" i="3"/>
  <c r="O252" i="3"/>
  <c r="O259" i="3" s="1"/>
  <c r="M252" i="3"/>
  <c r="M260" i="3" s="1"/>
  <c r="K252" i="3"/>
  <c r="K254" i="3" s="1"/>
  <c r="AF244" i="3"/>
  <c r="AD244" i="3"/>
  <c r="AB244" i="3"/>
  <c r="Z244" i="3"/>
  <c r="X244" i="3"/>
  <c r="W244" i="3"/>
  <c r="V244" i="3"/>
  <c r="T244" i="3"/>
  <c r="S244" i="3"/>
  <c r="R244" i="3"/>
  <c r="P244" i="3"/>
  <c r="O244" i="3"/>
  <c r="N244" i="3"/>
  <c r="M244" i="3"/>
  <c r="L244" i="3"/>
  <c r="K244" i="3"/>
  <c r="J244" i="3"/>
  <c r="I244" i="3"/>
  <c r="AF235" i="3"/>
  <c r="AD235" i="3"/>
  <c r="AB235" i="3"/>
  <c r="Z235" i="3"/>
  <c r="Z237" i="3" s="1"/>
  <c r="Z420" i="3" s="1"/>
  <c r="W235" i="3"/>
  <c r="T235" i="3"/>
  <c r="S235" i="3"/>
  <c r="R235" i="3"/>
  <c r="P235" i="3"/>
  <c r="N235" i="3"/>
  <c r="L235" i="3"/>
  <c r="J235" i="3"/>
  <c r="I235" i="3"/>
  <c r="O233" i="3"/>
  <c r="M233" i="3"/>
  <c r="K233" i="3"/>
  <c r="O232" i="3"/>
  <c r="M232" i="3"/>
  <c r="K232" i="3"/>
  <c r="R229" i="3"/>
  <c r="P229" i="3"/>
  <c r="O229" i="3"/>
  <c r="N229" i="3"/>
  <c r="M229" i="3"/>
  <c r="L229" i="3"/>
  <c r="K229" i="3"/>
  <c r="J229" i="3"/>
  <c r="I229" i="3"/>
  <c r="AD228" i="3"/>
  <c r="AB228" i="3"/>
  <c r="Z228" i="3"/>
  <c r="X228" i="3"/>
  <c r="T228" i="3"/>
  <c r="V228" i="3" s="1"/>
  <c r="S228" i="3"/>
  <c r="S229" i="3" s="1"/>
  <c r="AD227" i="3"/>
  <c r="AB227" i="3"/>
  <c r="Z227" i="3"/>
  <c r="X227" i="3"/>
  <c r="V227" i="3"/>
  <c r="W223" i="3"/>
  <c r="R223" i="3"/>
  <c r="P223" i="3"/>
  <c r="O223" i="3"/>
  <c r="N223" i="3"/>
  <c r="M223" i="3"/>
  <c r="L223" i="3"/>
  <c r="K223" i="3"/>
  <c r="J223" i="3"/>
  <c r="I223" i="3"/>
  <c r="AD220" i="3"/>
  <c r="AB220" i="3"/>
  <c r="Z220" i="3"/>
  <c r="X220" i="3"/>
  <c r="T220" i="3"/>
  <c r="V220" i="3" s="1"/>
  <c r="S220" i="3"/>
  <c r="AD219" i="3"/>
  <c r="AB219" i="3"/>
  <c r="Z219" i="3"/>
  <c r="X219" i="3"/>
  <c r="V219" i="3"/>
  <c r="T219" i="3"/>
  <c r="S219" i="3"/>
  <c r="Y215" i="3"/>
  <c r="Y237" i="3" s="1"/>
  <c r="Y420" i="3" s="1"/>
  <c r="W215" i="3"/>
  <c r="R215" i="3"/>
  <c r="P215" i="3"/>
  <c r="O215" i="3"/>
  <c r="N215" i="3"/>
  <c r="M215" i="3"/>
  <c r="L215" i="3"/>
  <c r="K215" i="3"/>
  <c r="J215" i="3"/>
  <c r="I215" i="3"/>
  <c r="AD213" i="3"/>
  <c r="AB213" i="3"/>
  <c r="Z213" i="3"/>
  <c r="X213" i="3"/>
  <c r="T213" i="3"/>
  <c r="V213" i="3" s="1"/>
  <c r="S213" i="3"/>
  <c r="AD212" i="3"/>
  <c r="AB212" i="3"/>
  <c r="Z212" i="3"/>
  <c r="X212" i="3"/>
  <c r="V212" i="3"/>
  <c r="T212" i="3"/>
  <c r="S212" i="3"/>
  <c r="R208" i="3"/>
  <c r="P208" i="3"/>
  <c r="O208" i="3"/>
  <c r="N208" i="3"/>
  <c r="M208" i="3"/>
  <c r="L208" i="3"/>
  <c r="K208" i="3"/>
  <c r="J208" i="3"/>
  <c r="I208" i="3"/>
  <c r="AD207" i="3"/>
  <c r="AB207" i="3"/>
  <c r="Z207" i="3"/>
  <c r="X207" i="3"/>
  <c r="V207" i="3"/>
  <c r="T207" i="3"/>
  <c r="S207" i="3"/>
  <c r="AD206" i="3"/>
  <c r="AB206" i="3"/>
  <c r="Z206" i="3"/>
  <c r="X206" i="3"/>
  <c r="T206" i="3"/>
  <c r="V206" i="3" s="1"/>
  <c r="S206" i="3"/>
  <c r="V205" i="3"/>
  <c r="T205" i="3"/>
  <c r="S205" i="3"/>
  <c r="W201" i="3"/>
  <c r="W419" i="3" s="1"/>
  <c r="AF199" i="3"/>
  <c r="AD199" i="3"/>
  <c r="R199" i="3"/>
  <c r="P199" i="3"/>
  <c r="N199" i="3"/>
  <c r="L199" i="3"/>
  <c r="J199" i="3"/>
  <c r="I199" i="3"/>
  <c r="T196" i="3"/>
  <c r="S196" i="3"/>
  <c r="O196" i="3"/>
  <c r="M196" i="3"/>
  <c r="K196" i="3"/>
  <c r="T195" i="3"/>
  <c r="S195" i="3"/>
  <c r="O195" i="3"/>
  <c r="M195" i="3"/>
  <c r="K195" i="3"/>
  <c r="T190" i="3"/>
  <c r="S190" i="3"/>
  <c r="R190" i="3"/>
  <c r="P190" i="3"/>
  <c r="O190" i="3"/>
  <c r="N190" i="3"/>
  <c r="M190" i="3"/>
  <c r="L190" i="3"/>
  <c r="K190" i="3"/>
  <c r="J190" i="3"/>
  <c r="I190" i="3"/>
  <c r="AF189" i="3"/>
  <c r="AD189" i="3"/>
  <c r="AB189" i="3"/>
  <c r="Z189" i="3"/>
  <c r="X189" i="3"/>
  <c r="V189" i="3"/>
  <c r="AF188" i="3"/>
  <c r="AD188" i="3"/>
  <c r="AB188" i="3"/>
  <c r="Z188" i="3"/>
  <c r="X188" i="3"/>
  <c r="V188" i="3"/>
  <c r="AF187" i="3"/>
  <c r="AD187" i="3"/>
  <c r="AB187" i="3"/>
  <c r="Z187" i="3"/>
  <c r="X187" i="3"/>
  <c r="V187" i="3"/>
  <c r="AF186" i="3"/>
  <c r="AD186" i="3"/>
  <c r="AB186" i="3"/>
  <c r="Z186" i="3"/>
  <c r="X186" i="3"/>
  <c r="V186" i="3"/>
  <c r="AF185" i="3"/>
  <c r="AD185" i="3"/>
  <c r="AB185" i="3"/>
  <c r="Z185" i="3"/>
  <c r="X185" i="3"/>
  <c r="V185" i="3"/>
  <c r="AF184" i="3"/>
  <c r="AD184" i="3"/>
  <c r="AB184" i="3"/>
  <c r="Z184" i="3"/>
  <c r="X184" i="3"/>
  <c r="V184" i="3"/>
  <c r="AF183" i="3"/>
  <c r="AD183" i="3"/>
  <c r="AB183" i="3"/>
  <c r="Z183" i="3"/>
  <c r="X183" i="3"/>
  <c r="V183" i="3"/>
  <c r="AF182" i="3"/>
  <c r="AD182" i="3"/>
  <c r="AB182" i="3"/>
  <c r="Z182" i="3"/>
  <c r="X182" i="3"/>
  <c r="V182" i="3"/>
  <c r="AF172" i="3"/>
  <c r="AD172" i="3"/>
  <c r="AB172" i="3"/>
  <c r="Z172" i="3"/>
  <c r="Y172" i="3"/>
  <c r="R172" i="3"/>
  <c r="P172" i="3"/>
  <c r="N172" i="3"/>
  <c r="L172" i="3"/>
  <c r="J172" i="3"/>
  <c r="I172" i="3"/>
  <c r="AF151" i="3"/>
  <c r="AD151" i="3"/>
  <c r="AB151" i="3"/>
  <c r="Z151" i="3"/>
  <c r="Y151" i="3"/>
  <c r="X151" i="3"/>
  <c r="W151" i="3"/>
  <c r="V151" i="3"/>
  <c r="T151" i="3"/>
  <c r="S151" i="3"/>
  <c r="R151" i="3"/>
  <c r="P151" i="3"/>
  <c r="O151" i="3"/>
  <c r="N151" i="3"/>
  <c r="M151" i="3"/>
  <c r="L151" i="3"/>
  <c r="K151" i="3"/>
  <c r="J151" i="3"/>
  <c r="I151" i="3"/>
  <c r="AF137" i="3"/>
  <c r="AD137" i="3"/>
  <c r="AB137" i="3"/>
  <c r="Z137" i="3"/>
  <c r="Y137" i="3"/>
  <c r="X137" i="3"/>
  <c r="W137" i="3"/>
  <c r="V137" i="3"/>
  <c r="T137" i="3"/>
  <c r="S137" i="3"/>
  <c r="R137" i="3"/>
  <c r="P137" i="3"/>
  <c r="O137" i="3"/>
  <c r="N137" i="3"/>
  <c r="M137" i="3"/>
  <c r="L137" i="3"/>
  <c r="K137" i="3"/>
  <c r="J137" i="3"/>
  <c r="I137" i="3"/>
  <c r="U136" i="3"/>
  <c r="Y125" i="3"/>
  <c r="W125" i="3"/>
  <c r="U125" i="3"/>
  <c r="T125" i="3"/>
  <c r="S125" i="3"/>
  <c r="R125" i="3"/>
  <c r="Q125" i="3"/>
  <c r="P125" i="3"/>
  <c r="O125" i="3"/>
  <c r="N125" i="3"/>
  <c r="M125" i="3"/>
  <c r="L125" i="3"/>
  <c r="K125" i="3"/>
  <c r="J125" i="3"/>
  <c r="I125" i="3"/>
  <c r="Y123" i="3"/>
  <c r="W123" i="3"/>
  <c r="R123" i="3"/>
  <c r="P123" i="3"/>
  <c r="N123" i="3"/>
  <c r="L123" i="3"/>
  <c r="J123" i="3"/>
  <c r="I123" i="3"/>
  <c r="Y122" i="3"/>
  <c r="W122" i="3"/>
  <c r="R122" i="3"/>
  <c r="P122" i="3"/>
  <c r="N122" i="3"/>
  <c r="M122" i="3"/>
  <c r="L122" i="3"/>
  <c r="I122" i="3"/>
  <c r="AF121" i="3"/>
  <c r="AD121" i="3"/>
  <c r="AB121" i="3"/>
  <c r="Z121" i="3"/>
  <c r="Y121" i="3"/>
  <c r="X121" i="3"/>
  <c r="W121" i="3"/>
  <c r="V121" i="3"/>
  <c r="T121" i="3"/>
  <c r="S121" i="3"/>
  <c r="R121" i="3"/>
  <c r="P121" i="3"/>
  <c r="O121" i="3"/>
  <c r="N121" i="3"/>
  <c r="M121" i="3"/>
  <c r="L121" i="3"/>
  <c r="K121" i="3"/>
  <c r="J121" i="3"/>
  <c r="I121" i="3"/>
  <c r="R119" i="3"/>
  <c r="P119" i="3"/>
  <c r="O119" i="3"/>
  <c r="N119" i="3"/>
  <c r="M119" i="3"/>
  <c r="L119" i="3"/>
  <c r="J119" i="3"/>
  <c r="I119" i="3"/>
  <c r="X118" i="3"/>
  <c r="V118" i="3"/>
  <c r="T118" i="3"/>
  <c r="S118" i="3"/>
  <c r="K118" i="3"/>
  <c r="X117" i="3"/>
  <c r="V117" i="3"/>
  <c r="T117" i="3"/>
  <c r="S117" i="3"/>
  <c r="K117" i="3"/>
  <c r="O113" i="3"/>
  <c r="N113" i="3"/>
  <c r="M113" i="3"/>
  <c r="L113" i="3"/>
  <c r="J113" i="3"/>
  <c r="I113" i="3"/>
  <c r="K112" i="3"/>
  <c r="K111" i="3"/>
  <c r="R107" i="3"/>
  <c r="P107" i="3"/>
  <c r="N107" i="3"/>
  <c r="L107" i="3"/>
  <c r="J107" i="3"/>
  <c r="I107" i="3"/>
  <c r="AD106" i="3"/>
  <c r="AB106" i="3"/>
  <c r="X106" i="3"/>
  <c r="Z106" i="3" s="1"/>
  <c r="V106" i="3"/>
  <c r="T106" i="3"/>
  <c r="S106" i="3"/>
  <c r="K106" i="3"/>
  <c r="AD105" i="3"/>
  <c r="AB105" i="3"/>
  <c r="X105" i="3"/>
  <c r="Z105" i="3" s="1"/>
  <c r="V105" i="3"/>
  <c r="T105" i="3"/>
  <c r="S105" i="3"/>
  <c r="O105" i="3"/>
  <c r="O107" i="3" s="1"/>
  <c r="M105" i="3"/>
  <c r="M107" i="3" s="1"/>
  <c r="K105" i="3"/>
  <c r="R101" i="3"/>
  <c r="P101" i="3"/>
  <c r="N101" i="3"/>
  <c r="M101" i="3"/>
  <c r="L101" i="3"/>
  <c r="J101" i="3"/>
  <c r="I101" i="3"/>
  <c r="AD100" i="3"/>
  <c r="AB100" i="3"/>
  <c r="X100" i="3"/>
  <c r="Z100" i="3" s="1"/>
  <c r="V100" i="3"/>
  <c r="T100" i="3"/>
  <c r="S100" i="3"/>
  <c r="K100" i="3"/>
  <c r="AD99" i="3"/>
  <c r="AB99" i="3"/>
  <c r="X99" i="3"/>
  <c r="Z99" i="3" s="1"/>
  <c r="V99" i="3"/>
  <c r="T99" i="3"/>
  <c r="S99" i="3"/>
  <c r="O99" i="3"/>
  <c r="O101" i="3" s="1"/>
  <c r="K99" i="3"/>
  <c r="R95" i="3"/>
  <c r="P95" i="3"/>
  <c r="N95" i="3"/>
  <c r="L95" i="3"/>
  <c r="J95" i="3"/>
  <c r="I95" i="3"/>
  <c r="AD94" i="3"/>
  <c r="AB94" i="3"/>
  <c r="X94" i="3"/>
  <c r="Z94" i="3" s="1"/>
  <c r="V94" i="3"/>
  <c r="T94" i="3"/>
  <c r="T95" i="3" s="1"/>
  <c r="S94" i="3"/>
  <c r="S95" i="3" s="1"/>
  <c r="K94" i="3"/>
  <c r="AF95" i="3"/>
  <c r="AD93" i="3"/>
  <c r="AB93" i="3"/>
  <c r="X93" i="3"/>
  <c r="Z93" i="3" s="1"/>
  <c r="V93" i="3"/>
  <c r="O93" i="3"/>
  <c r="O95" i="3" s="1"/>
  <c r="M93" i="3"/>
  <c r="M95" i="3" s="1"/>
  <c r="K93" i="3"/>
  <c r="R89" i="3"/>
  <c r="P89" i="3"/>
  <c r="N89" i="3"/>
  <c r="L89" i="3"/>
  <c r="J89" i="3"/>
  <c r="I89" i="3"/>
  <c r="AF88" i="3"/>
  <c r="AD88" i="3"/>
  <c r="AB88" i="3"/>
  <c r="Z88" i="3"/>
  <c r="V88" i="3"/>
  <c r="K88" i="3"/>
  <c r="AD87" i="3"/>
  <c r="AB87" i="3"/>
  <c r="Z87" i="3"/>
  <c r="X87" i="3"/>
  <c r="V87" i="3"/>
  <c r="T87" i="3"/>
  <c r="T89" i="3" s="1"/>
  <c r="S87" i="3"/>
  <c r="S89" i="3" s="1"/>
  <c r="K87" i="3"/>
  <c r="AD86" i="3"/>
  <c r="AB86" i="3"/>
  <c r="X86" i="3"/>
  <c r="Z86" i="3" s="1"/>
  <c r="V86" i="3"/>
  <c r="O86" i="3"/>
  <c r="O89" i="3" s="1"/>
  <c r="M86" i="3"/>
  <c r="M89" i="3" s="1"/>
  <c r="K86" i="3"/>
  <c r="X82" i="3"/>
  <c r="R82" i="3"/>
  <c r="P82" i="3"/>
  <c r="O82" i="3"/>
  <c r="N82" i="3"/>
  <c r="M82" i="3"/>
  <c r="L82" i="3"/>
  <c r="J82" i="3"/>
  <c r="I82" i="3"/>
  <c r="AD80" i="3"/>
  <c r="AB80" i="3"/>
  <c r="T80" i="3"/>
  <c r="S80" i="3"/>
  <c r="K80" i="3"/>
  <c r="AD79" i="3"/>
  <c r="AB79" i="3"/>
  <c r="V79" i="3"/>
  <c r="V82" i="3" s="1"/>
  <c r="T79" i="3"/>
  <c r="S79" i="3"/>
  <c r="K79" i="3"/>
  <c r="R75" i="3"/>
  <c r="P75" i="3"/>
  <c r="N75" i="3"/>
  <c r="L75" i="3"/>
  <c r="J75" i="3"/>
  <c r="I75" i="3"/>
  <c r="AD74" i="3"/>
  <c r="AB74" i="3"/>
  <c r="X74" i="3"/>
  <c r="Z74" i="3" s="1"/>
  <c r="V74" i="3"/>
  <c r="T74" i="3"/>
  <c r="T75" i="3" s="1"/>
  <c r="S74" i="3"/>
  <c r="S75" i="3" s="1"/>
  <c r="K74" i="3"/>
  <c r="AD73" i="3"/>
  <c r="AB73" i="3"/>
  <c r="X73" i="3"/>
  <c r="Z73" i="3" s="1"/>
  <c r="V73" i="3"/>
  <c r="O73" i="3"/>
  <c r="O75" i="3" s="1"/>
  <c r="M73" i="3"/>
  <c r="M75" i="3" s="1"/>
  <c r="K73" i="3"/>
  <c r="W69" i="3"/>
  <c r="R69" i="3"/>
  <c r="P69" i="3"/>
  <c r="N69" i="3"/>
  <c r="L69" i="3"/>
  <c r="J69" i="3"/>
  <c r="I69" i="3"/>
  <c r="AD68" i="3"/>
  <c r="AB68" i="3"/>
  <c r="X68" i="3"/>
  <c r="Z68" i="3" s="1"/>
  <c r="V68" i="3"/>
  <c r="T68" i="3"/>
  <c r="T69" i="3" s="1"/>
  <c r="S68" i="3"/>
  <c r="S69" i="3" s="1"/>
  <c r="K68" i="3"/>
  <c r="AD67" i="3"/>
  <c r="AB67" i="3"/>
  <c r="X67" i="3"/>
  <c r="V67" i="3"/>
  <c r="O67" i="3"/>
  <c r="O69" i="3" s="1"/>
  <c r="M67" i="3"/>
  <c r="M69" i="3" s="1"/>
  <c r="K67" i="3"/>
  <c r="T63" i="3"/>
  <c r="S63" i="3"/>
  <c r="R63" i="3"/>
  <c r="P63" i="3"/>
  <c r="O63" i="3"/>
  <c r="N63" i="3"/>
  <c r="M63" i="3"/>
  <c r="L63" i="3"/>
  <c r="K63" i="3"/>
  <c r="J63" i="3"/>
  <c r="I63" i="3"/>
  <c r="AF63" i="3"/>
  <c r="AD62" i="3"/>
  <c r="AD63" i="3" s="1"/>
  <c r="AB62" i="3"/>
  <c r="AB63" i="3" s="1"/>
  <c r="Z62" i="3"/>
  <c r="Z63" i="3" s="1"/>
  <c r="X62" i="3"/>
  <c r="X63" i="3" s="1"/>
  <c r="V62" i="3"/>
  <c r="V63" i="3" s="1"/>
  <c r="R58" i="3"/>
  <c r="P58" i="3"/>
  <c r="N58" i="3"/>
  <c r="M58" i="3"/>
  <c r="L58" i="3"/>
  <c r="K58" i="3"/>
  <c r="J58" i="3"/>
  <c r="I58" i="3"/>
  <c r="AD57" i="3"/>
  <c r="AB57" i="3"/>
  <c r="Z57" i="3"/>
  <c r="X57" i="3"/>
  <c r="V57" i="3"/>
  <c r="T57" i="3"/>
  <c r="T58" i="3" s="1"/>
  <c r="S57" i="3"/>
  <c r="S58" i="3" s="1"/>
  <c r="AD54" i="3"/>
  <c r="AB54" i="3"/>
  <c r="X54" i="3"/>
  <c r="Z54" i="3" s="1"/>
  <c r="V54" i="3"/>
  <c r="O54" i="3"/>
  <c r="O58" i="3" s="1"/>
  <c r="R50" i="3"/>
  <c r="P50" i="3"/>
  <c r="N50" i="3"/>
  <c r="L50" i="3"/>
  <c r="J50" i="3"/>
  <c r="I50" i="3"/>
  <c r="AD49" i="3"/>
  <c r="AB49" i="3"/>
  <c r="Z49" i="3"/>
  <c r="X49" i="3"/>
  <c r="V49" i="3"/>
  <c r="T49" i="3"/>
  <c r="S49" i="3"/>
  <c r="K49" i="3"/>
  <c r="AD48" i="3"/>
  <c r="AB48" i="3"/>
  <c r="X48" i="3"/>
  <c r="Z48" i="3" s="1"/>
  <c r="V48" i="3"/>
  <c r="T48" i="3"/>
  <c r="S48" i="3"/>
  <c r="O48" i="3"/>
  <c r="O50" i="3" s="1"/>
  <c r="M48" i="3"/>
  <c r="K48" i="3"/>
  <c r="AD47" i="3"/>
  <c r="AB47" i="3"/>
  <c r="Z47" i="3"/>
  <c r="X47" i="3"/>
  <c r="V47" i="3"/>
  <c r="R43" i="3"/>
  <c r="P43" i="3"/>
  <c r="N43" i="3"/>
  <c r="M43" i="3"/>
  <c r="L43" i="3"/>
  <c r="J43" i="3"/>
  <c r="I43" i="3"/>
  <c r="AF42" i="3"/>
  <c r="AD42" i="3"/>
  <c r="AB42" i="3"/>
  <c r="X42" i="3"/>
  <c r="Z42" i="3" s="1"/>
  <c r="V42" i="3"/>
  <c r="T42" i="3"/>
  <c r="S42" i="3"/>
  <c r="O42" i="3"/>
  <c r="O122" i="3" s="1"/>
  <c r="K42" i="3"/>
  <c r="AD41" i="3"/>
  <c r="AB41" i="3"/>
  <c r="X41" i="3"/>
  <c r="Z41" i="3" s="1"/>
  <c r="V41" i="3"/>
  <c r="T41" i="3"/>
  <c r="S41" i="3"/>
  <c r="K41" i="3"/>
  <c r="AF40" i="3"/>
  <c r="AD40" i="3"/>
  <c r="AB40" i="3"/>
  <c r="Z40" i="3"/>
  <c r="X40" i="3"/>
  <c r="V40" i="3"/>
  <c r="T33" i="3"/>
  <c r="T415" i="3" s="1"/>
  <c r="Y31" i="3"/>
  <c r="Y414" i="3" s="1"/>
  <c r="Z27" i="3"/>
  <c r="Z31" i="3" s="1"/>
  <c r="Z414" i="3" s="1"/>
  <c r="P27" i="3"/>
  <c r="P31" i="3" s="1"/>
  <c r="P414" i="3" s="1"/>
  <c r="N27" i="3"/>
  <c r="N31" i="3" s="1"/>
  <c r="N414" i="3" s="1"/>
  <c r="L27" i="3"/>
  <c r="L31" i="3" s="1"/>
  <c r="L414" i="3" s="1"/>
  <c r="J27" i="3"/>
  <c r="J31" i="3" s="1"/>
  <c r="J414" i="3" s="1"/>
  <c r="I27" i="3"/>
  <c r="I31" i="3" s="1"/>
  <c r="I414" i="3" s="1"/>
  <c r="AD26" i="3"/>
  <c r="AB26" i="3"/>
  <c r="X26" i="3"/>
  <c r="V26" i="3"/>
  <c r="T26" i="3"/>
  <c r="S26" i="3"/>
  <c r="O26" i="3"/>
  <c r="M26" i="3"/>
  <c r="K26" i="3"/>
  <c r="AD25" i="3"/>
  <c r="AB25" i="3"/>
  <c r="X25" i="3"/>
  <c r="V25" i="3"/>
  <c r="T25" i="3"/>
  <c r="S25" i="3"/>
  <c r="O25" i="3"/>
  <c r="M25" i="3"/>
  <c r="K25" i="3"/>
  <c r="AD24" i="3"/>
  <c r="AB24" i="3"/>
  <c r="X24" i="3"/>
  <c r="W24" i="3"/>
  <c r="W27" i="3" s="1"/>
  <c r="W31" i="3" s="1"/>
  <c r="V24" i="3"/>
  <c r="T24" i="3"/>
  <c r="S24" i="3"/>
  <c r="R24" i="3"/>
  <c r="R27" i="3" s="1"/>
  <c r="R31" i="3" s="1"/>
  <c r="R414" i="3" s="1"/>
  <c r="O24" i="3"/>
  <c r="M24" i="3"/>
  <c r="K24" i="3"/>
  <c r="Z17" i="3"/>
  <c r="Z413" i="3" s="1"/>
  <c r="Y17" i="3"/>
  <c r="Y413" i="3" s="1"/>
  <c r="X17" i="3"/>
  <c r="X413" i="3" s="1"/>
  <c r="W17" i="3"/>
  <c r="W413" i="3" s="1"/>
  <c r="V17" i="3"/>
  <c r="V413" i="3" s="1"/>
  <c r="T17" i="3"/>
  <c r="T413" i="3" s="1"/>
  <c r="S17" i="3"/>
  <c r="S413" i="3" s="1"/>
  <c r="R17" i="3"/>
  <c r="R413" i="3" s="1"/>
  <c r="P17" i="3"/>
  <c r="P413" i="3" s="1"/>
  <c r="O17" i="3"/>
  <c r="O413" i="3" s="1"/>
  <c r="N17" i="3"/>
  <c r="N413" i="3" s="1"/>
  <c r="M17" i="3"/>
  <c r="M413" i="3" s="1"/>
  <c r="L17" i="3"/>
  <c r="L413" i="3" s="1"/>
  <c r="K17" i="3"/>
  <c r="K413" i="3" s="1"/>
  <c r="J17" i="3"/>
  <c r="J413" i="3" s="1"/>
  <c r="I17" i="3"/>
  <c r="I413" i="3" s="1"/>
  <c r="AF17" i="3"/>
  <c r="AD13" i="3"/>
  <c r="AD17" i="3" s="1"/>
  <c r="AD413" i="3" s="1"/>
  <c r="AB13" i="3"/>
  <c r="AB17" i="3" s="1"/>
  <c r="AB413" i="3" s="1"/>
  <c r="Z125" i="3" l="1"/>
  <c r="Z122" i="3"/>
  <c r="AB190" i="3"/>
  <c r="Z190" i="3"/>
  <c r="AD190" i="3"/>
  <c r="AF190" i="3"/>
  <c r="AF201" i="3" s="1"/>
  <c r="AF419" i="3" s="1"/>
  <c r="X196" i="3"/>
  <c r="AB196" i="3"/>
  <c r="V190" i="3"/>
  <c r="Z196" i="3"/>
  <c r="X190" i="3"/>
  <c r="AD101" i="3"/>
  <c r="X69" i="3"/>
  <c r="AD107" i="3"/>
  <c r="L389" i="3"/>
  <c r="L423" i="3" s="1"/>
  <c r="S389" i="3"/>
  <c r="S423" i="3" s="1"/>
  <c r="Z226" i="3"/>
  <c r="AF226" i="3"/>
  <c r="AB211" i="3"/>
  <c r="X218" i="3"/>
  <c r="X223" i="3" s="1"/>
  <c r="S371" i="3"/>
  <c r="S422" i="3" s="1"/>
  <c r="AB82" i="3"/>
  <c r="AD201" i="3"/>
  <c r="AD419" i="3" s="1"/>
  <c r="AD211" i="3"/>
  <c r="T82" i="3"/>
  <c r="AB58" i="3"/>
  <c r="V75" i="3"/>
  <c r="AD58" i="3"/>
  <c r="AB89" i="3"/>
  <c r="V223" i="3"/>
  <c r="S101" i="3"/>
  <c r="AF101" i="3"/>
  <c r="Z58" i="3"/>
  <c r="K95" i="3"/>
  <c r="AD95" i="3"/>
  <c r="Z95" i="3"/>
  <c r="K199" i="3"/>
  <c r="K201" i="3" s="1"/>
  <c r="K419" i="3" s="1"/>
  <c r="X205" i="3"/>
  <c r="X208" i="3" s="1"/>
  <c r="AD218" i="3"/>
  <c r="T229" i="3"/>
  <c r="W266" i="3"/>
  <c r="W421" i="3" s="1"/>
  <c r="AD69" i="3"/>
  <c r="V69" i="3"/>
  <c r="Z101" i="3"/>
  <c r="AB107" i="3"/>
  <c r="P124" i="3"/>
  <c r="K371" i="3"/>
  <c r="K422" i="3" s="1"/>
  <c r="R371" i="3"/>
  <c r="R422" i="3" s="1"/>
  <c r="T371" i="3"/>
  <c r="T422" i="3" s="1"/>
  <c r="Z389" i="3"/>
  <c r="Z423" i="3" s="1"/>
  <c r="T264" i="3"/>
  <c r="T266" i="3" s="1"/>
  <c r="T421" i="3" s="1"/>
  <c r="AF125" i="3"/>
  <c r="AF82" i="3"/>
  <c r="T43" i="3"/>
  <c r="AD75" i="3"/>
  <c r="R124" i="3"/>
  <c r="S215" i="3"/>
  <c r="AD43" i="3"/>
  <c r="K113" i="3"/>
  <c r="X119" i="3"/>
  <c r="M199" i="3"/>
  <c r="M201" i="3" s="1"/>
  <c r="M419" i="3" s="1"/>
  <c r="S50" i="3"/>
  <c r="O199" i="3"/>
  <c r="O201" i="3" s="1"/>
  <c r="O419" i="3" s="1"/>
  <c r="AD226" i="3"/>
  <c r="W177" i="3"/>
  <c r="W418" i="3" s="1"/>
  <c r="K101" i="3"/>
  <c r="S107" i="3"/>
  <c r="S199" i="3"/>
  <c r="S201" i="3" s="1"/>
  <c r="S419" i="3" s="1"/>
  <c r="M235" i="3"/>
  <c r="M237" i="3" s="1"/>
  <c r="M420" i="3" s="1"/>
  <c r="AF123" i="3"/>
  <c r="L177" i="3"/>
  <c r="L418" i="3" s="1"/>
  <c r="AF58" i="3"/>
  <c r="K82" i="3"/>
  <c r="V95" i="3"/>
  <c r="V101" i="3"/>
  <c r="AF107" i="3"/>
  <c r="T199" i="3"/>
  <c r="T201" i="3" s="1"/>
  <c r="T419" i="3" s="1"/>
  <c r="X389" i="3"/>
  <c r="X423" i="3" s="1"/>
  <c r="AF69" i="3"/>
  <c r="I124" i="3"/>
  <c r="T389" i="3"/>
  <c r="T423" i="3" s="1"/>
  <c r="S27" i="3"/>
  <c r="S31" i="3" s="1"/>
  <c r="S414" i="3" s="1"/>
  <c r="AD27" i="3"/>
  <c r="AD31" i="3" s="1"/>
  <c r="AD414" i="3" s="1"/>
  <c r="T27" i="3"/>
  <c r="T31" i="3" s="1"/>
  <c r="T414" i="3" s="1"/>
  <c r="K27" i="3"/>
  <c r="K31" i="3" s="1"/>
  <c r="K414" i="3" s="1"/>
  <c r="X27" i="3"/>
  <c r="X31" i="3" s="1"/>
  <c r="X414" i="3" s="1"/>
  <c r="X125" i="3"/>
  <c r="AF50" i="3"/>
  <c r="V123" i="3"/>
  <c r="K69" i="3"/>
  <c r="K75" i="3"/>
  <c r="AB75" i="3"/>
  <c r="Z89" i="3"/>
  <c r="AB95" i="3"/>
  <c r="J122" i="3"/>
  <c r="J124" i="3" s="1"/>
  <c r="AB101" i="3"/>
  <c r="K107" i="3"/>
  <c r="V119" i="3"/>
  <c r="L124" i="3"/>
  <c r="N201" i="3"/>
  <c r="N419" i="3" s="1"/>
  <c r="Z195" i="3"/>
  <c r="AF237" i="3"/>
  <c r="AF420" i="3" s="1"/>
  <c r="Z211" i="3"/>
  <c r="N266" i="3"/>
  <c r="N421" i="3" s="1"/>
  <c r="K259" i="3"/>
  <c r="J389" i="3"/>
  <c r="J423" i="3" s="1"/>
  <c r="P389" i="3"/>
  <c r="P423" i="3" s="1"/>
  <c r="K89" i="3"/>
  <c r="M27" i="3"/>
  <c r="M31" i="3" s="1"/>
  <c r="M414" i="3" s="1"/>
  <c r="AB123" i="3"/>
  <c r="M389" i="3"/>
  <c r="M423" i="3" s="1"/>
  <c r="O27" i="3"/>
  <c r="O31" i="3" s="1"/>
  <c r="O35" i="3" s="1"/>
  <c r="O416" i="3" s="1"/>
  <c r="O429" i="3" s="1"/>
  <c r="S122" i="3"/>
  <c r="O43" i="3"/>
  <c r="X75" i="3"/>
  <c r="S82" i="3"/>
  <c r="S119" i="3"/>
  <c r="L201" i="3"/>
  <c r="L419" i="3" s="1"/>
  <c r="V215" i="3"/>
  <c r="AB218" i="3"/>
  <c r="X226" i="3"/>
  <c r="X229" i="3" s="1"/>
  <c r="O235" i="3"/>
  <c r="O237" i="3" s="1"/>
  <c r="O420" i="3" s="1"/>
  <c r="L266" i="3"/>
  <c r="L421" i="3" s="1"/>
  <c r="V260" i="3"/>
  <c r="AF389" i="3"/>
  <c r="AF423" i="3" s="1"/>
  <c r="N389" i="3"/>
  <c r="N423" i="3" s="1"/>
  <c r="V389" i="3"/>
  <c r="V423" i="3" s="1"/>
  <c r="V89" i="3"/>
  <c r="Z50" i="3"/>
  <c r="I177" i="3"/>
  <c r="I418" i="3" s="1"/>
  <c r="K119" i="3"/>
  <c r="W124" i="3"/>
  <c r="AD389" i="3"/>
  <c r="AD423" i="3" s="1"/>
  <c r="V125" i="3"/>
  <c r="K43" i="3"/>
  <c r="AD50" i="3"/>
  <c r="Z75" i="3"/>
  <c r="AF75" i="3"/>
  <c r="V107" i="3"/>
  <c r="Y124" i="3"/>
  <c r="R201" i="3"/>
  <c r="R419" i="3" s="1"/>
  <c r="AD208" i="3"/>
  <c r="AD237" i="3" s="1"/>
  <c r="AD420" i="3" s="1"/>
  <c r="R237" i="3"/>
  <c r="R420" i="3" s="1"/>
  <c r="S223" i="3"/>
  <c r="I371" i="3"/>
  <c r="I422" i="3" s="1"/>
  <c r="O371" i="3"/>
  <c r="O422" i="3" s="1"/>
  <c r="I389" i="3"/>
  <c r="I423" i="3" s="1"/>
  <c r="O389" i="3"/>
  <c r="O423" i="3" s="1"/>
  <c r="AD82" i="3"/>
  <c r="AB27" i="3"/>
  <c r="AB31" i="3" s="1"/>
  <c r="AB414" i="3" s="1"/>
  <c r="AF27" i="3"/>
  <c r="AF31" i="3" s="1"/>
  <c r="AF414" i="3" s="1"/>
  <c r="V27" i="3"/>
  <c r="V31" i="3" s="1"/>
  <c r="V414" i="3" s="1"/>
  <c r="X123" i="3"/>
  <c r="AD122" i="3"/>
  <c r="N177" i="3"/>
  <c r="N418" i="3" s="1"/>
  <c r="X50" i="3"/>
  <c r="M123" i="3"/>
  <c r="M155" i="3" s="1"/>
  <c r="T50" i="3"/>
  <c r="X58" i="3"/>
  <c r="K122" i="3"/>
  <c r="AB69" i="3"/>
  <c r="I201" i="3"/>
  <c r="I419" i="3" s="1"/>
  <c r="AB208" i="3"/>
  <c r="AB237" i="3" s="1"/>
  <c r="AB420" i="3" s="1"/>
  <c r="P237" i="3"/>
  <c r="P420" i="3" s="1"/>
  <c r="AF211" i="3"/>
  <c r="AF218" i="3"/>
  <c r="K235" i="3"/>
  <c r="K237" i="3" s="1"/>
  <c r="K420" i="3" s="1"/>
  <c r="J266" i="3"/>
  <c r="J421" i="3" s="1"/>
  <c r="P266" i="3"/>
  <c r="P421" i="3" s="1"/>
  <c r="O254" i="3"/>
  <c r="X254" i="3"/>
  <c r="X266" i="3" s="1"/>
  <c r="X421" i="3" s="1"/>
  <c r="O260" i="3"/>
  <c r="O264" i="3" s="1"/>
  <c r="J371" i="3"/>
  <c r="J422" i="3" s="1"/>
  <c r="P371" i="3"/>
  <c r="P422" i="3" s="1"/>
  <c r="AD371" i="3"/>
  <c r="AD422" i="3" s="1"/>
  <c r="M371" i="3"/>
  <c r="M422" i="3" s="1"/>
  <c r="T122" i="3"/>
  <c r="P177" i="3"/>
  <c r="P418" i="3" s="1"/>
  <c r="AB50" i="3"/>
  <c r="V50" i="3"/>
  <c r="J177" i="3"/>
  <c r="J418" i="3" s="1"/>
  <c r="Z67" i="3"/>
  <c r="Z69" i="3" s="1"/>
  <c r="X95" i="3"/>
  <c r="T123" i="3"/>
  <c r="T119" i="3"/>
  <c r="AD125" i="3"/>
  <c r="Z218" i="3"/>
  <c r="L237" i="3"/>
  <c r="L420" i="3" s="1"/>
  <c r="W237" i="3"/>
  <c r="W420" i="3" s="1"/>
  <c r="I266" i="3"/>
  <c r="I421" i="3" s="1"/>
  <c r="R266" i="3"/>
  <c r="R421" i="3" s="1"/>
  <c r="S43" i="3"/>
  <c r="AD123" i="3"/>
  <c r="V122" i="3"/>
  <c r="R177" i="3"/>
  <c r="R418" i="3" s="1"/>
  <c r="X101" i="3"/>
  <c r="Z107" i="3"/>
  <c r="S208" i="3"/>
  <c r="AB226" i="3"/>
  <c r="N237" i="3"/>
  <c r="N420" i="3" s="1"/>
  <c r="S264" i="3"/>
  <c r="S266" i="3" s="1"/>
  <c r="S421" i="3" s="1"/>
  <c r="K389" i="3"/>
  <c r="K423" i="3" s="1"/>
  <c r="R389" i="3"/>
  <c r="R423" i="3" s="1"/>
  <c r="AD89" i="3"/>
  <c r="X89" i="3"/>
  <c r="T107" i="3"/>
  <c r="T208" i="3"/>
  <c r="AB43" i="3"/>
  <c r="AB122" i="3"/>
  <c r="K50" i="3"/>
  <c r="V58" i="3"/>
  <c r="AF89" i="3"/>
  <c r="N124" i="3"/>
  <c r="Z205" i="3"/>
  <c r="T215" i="3"/>
  <c r="T223" i="3"/>
  <c r="K260" i="3"/>
  <c r="W371" i="3"/>
  <c r="W422" i="3" s="1"/>
  <c r="V371" i="3"/>
  <c r="V422" i="3" s="1"/>
  <c r="AF371" i="3"/>
  <c r="AF422" i="3" s="1"/>
  <c r="N371" i="3"/>
  <c r="N422" i="3" s="1"/>
  <c r="AB371" i="3"/>
  <c r="AB422" i="3" s="1"/>
  <c r="L371" i="3"/>
  <c r="L422" i="3" s="1"/>
  <c r="W414" i="3"/>
  <c r="W35" i="3"/>
  <c r="W416" i="3" s="1"/>
  <c r="W429" i="3" s="1"/>
  <c r="AF413" i="3"/>
  <c r="AF43" i="3"/>
  <c r="K123" i="3"/>
  <c r="N35" i="3"/>
  <c r="V43" i="3"/>
  <c r="M50" i="3"/>
  <c r="X107" i="3"/>
  <c r="X122" i="3"/>
  <c r="S123" i="3"/>
  <c r="AB125" i="3"/>
  <c r="V208" i="3"/>
  <c r="X232" i="3"/>
  <c r="V195" i="3"/>
  <c r="P35" i="3"/>
  <c r="P416" i="3" s="1"/>
  <c r="P429" i="3" s="1"/>
  <c r="AF122" i="3"/>
  <c r="V233" i="3"/>
  <c r="X43" i="3"/>
  <c r="J35" i="3"/>
  <c r="J416" i="3" s="1"/>
  <c r="J429" i="3" s="1"/>
  <c r="Y177" i="3"/>
  <c r="R35" i="3"/>
  <c r="R416" i="3" s="1"/>
  <c r="R429" i="3" s="1"/>
  <c r="Y35" i="3"/>
  <c r="Y416" i="3" s="1"/>
  <c r="Y429" i="3" s="1"/>
  <c r="T101" i="3"/>
  <c r="O123" i="3"/>
  <c r="O124" i="3" s="1"/>
  <c r="X195" i="3"/>
  <c r="X371" i="3"/>
  <c r="X422" i="3" s="1"/>
  <c r="AB389" i="3"/>
  <c r="AB423" i="3" s="1"/>
  <c r="I35" i="3"/>
  <c r="I416" i="3" s="1"/>
  <c r="I429" i="3" s="1"/>
  <c r="Z43" i="3"/>
  <c r="L35" i="3"/>
  <c r="L416" i="3" s="1"/>
  <c r="L429" i="3" s="1"/>
  <c r="I237" i="3"/>
  <c r="I420" i="3" s="1"/>
  <c r="Z371" i="3"/>
  <c r="Z422" i="3" s="1"/>
  <c r="AB195" i="3"/>
  <c r="V196" i="3"/>
  <c r="X211" i="3"/>
  <c r="X215" i="3" s="1"/>
  <c r="X233" i="3"/>
  <c r="J237" i="3"/>
  <c r="J420" i="3" s="1"/>
  <c r="AF266" i="3"/>
  <c r="AF421" i="3" s="1"/>
  <c r="AB252" i="3"/>
  <c r="AB254" i="3" s="1"/>
  <c r="AB266" i="3" s="1"/>
  <c r="AB421" i="3" s="1"/>
  <c r="Z254" i="3"/>
  <c r="Z266" i="3" s="1"/>
  <c r="Z421" i="3" s="1"/>
  <c r="AD252" i="3"/>
  <c r="AD254" i="3" s="1"/>
  <c r="AD266" i="3" s="1"/>
  <c r="AD421" i="3" s="1"/>
  <c r="V232" i="3"/>
  <c r="V229" i="3"/>
  <c r="M254" i="3"/>
  <c r="V254" i="3"/>
  <c r="V259" i="3"/>
  <c r="M259" i="3"/>
  <c r="M264" i="3" s="1"/>
  <c r="Z123" i="3" l="1"/>
  <c r="Z124" i="3" s="1"/>
  <c r="X199" i="3"/>
  <c r="X201" i="3" s="1"/>
  <c r="X419" i="3" s="1"/>
  <c r="AB199" i="3"/>
  <c r="AB201" i="3" s="1"/>
  <c r="AB419" i="3" s="1"/>
  <c r="Z199" i="3"/>
  <c r="Z201" i="3" s="1"/>
  <c r="Z419" i="3" s="1"/>
  <c r="K124" i="3"/>
  <c r="K264" i="3"/>
  <c r="K266" i="3" s="1"/>
  <c r="K421" i="3" s="1"/>
  <c r="T35" i="3"/>
  <c r="T416" i="3" s="1"/>
  <c r="T429" i="3" s="1"/>
  <c r="M35" i="3"/>
  <c r="M416" i="3" s="1"/>
  <c r="M429" i="3" s="1"/>
  <c r="V124" i="3"/>
  <c r="AB124" i="3"/>
  <c r="V156" i="3"/>
  <c r="V172" i="3" s="1"/>
  <c r="V177" i="3" s="1"/>
  <c r="V418" i="3" s="1"/>
  <c r="T124" i="3"/>
  <c r="O414" i="3"/>
  <c r="P427" i="3"/>
  <c r="P430" i="3" s="1"/>
  <c r="P431" i="3" s="1"/>
  <c r="AD177" i="3"/>
  <c r="AD411" i="3" s="1"/>
  <c r="S156" i="3"/>
  <c r="S172" i="3" s="1"/>
  <c r="S177" i="3" s="1"/>
  <c r="S418" i="3" s="1"/>
  <c r="AD124" i="3"/>
  <c r="AF124" i="3"/>
  <c r="T237" i="3"/>
  <c r="T420" i="3" s="1"/>
  <c r="V264" i="3"/>
  <c r="V266" i="3" s="1"/>
  <c r="V421" i="3" s="1"/>
  <c r="Z177" i="3"/>
  <c r="Z418" i="3" s="1"/>
  <c r="S237" i="3"/>
  <c r="S420" i="3" s="1"/>
  <c r="AB177" i="3"/>
  <c r="AB418" i="3" s="1"/>
  <c r="S35" i="3"/>
  <c r="S416" i="3" s="1"/>
  <c r="S429" i="3" s="1"/>
  <c r="P411" i="3"/>
  <c r="M266" i="3"/>
  <c r="M421" i="3" s="1"/>
  <c r="R411" i="3"/>
  <c r="X156" i="3"/>
  <c r="X172" i="3" s="1"/>
  <c r="X177" i="3" s="1"/>
  <c r="AF177" i="3"/>
  <c r="AF418" i="3" s="1"/>
  <c r="R427" i="3"/>
  <c r="R430" i="3" s="1"/>
  <c r="R431" i="3" s="1"/>
  <c r="M124" i="3"/>
  <c r="W427" i="3"/>
  <c r="W430" i="3" s="1"/>
  <c r="W431" i="3" s="1"/>
  <c r="O266" i="3"/>
  <c r="O421" i="3" s="1"/>
  <c r="W411" i="3"/>
  <c r="L427" i="3"/>
  <c r="L430" i="3" s="1"/>
  <c r="L431" i="3" s="1"/>
  <c r="T156" i="3"/>
  <c r="T172" i="3" s="1"/>
  <c r="T177" i="3" s="1"/>
  <c r="M156" i="3"/>
  <c r="M172" i="3" s="1"/>
  <c r="M177" i="3" s="1"/>
  <c r="X235" i="3"/>
  <c r="X237" i="3" s="1"/>
  <c r="X420" i="3" s="1"/>
  <c r="L411" i="3"/>
  <c r="S124" i="3"/>
  <c r="Y411" i="3"/>
  <c r="Y418" i="3"/>
  <c r="Y427" i="3" s="1"/>
  <c r="Y430" i="3" s="1"/>
  <c r="Y431" i="3" s="1"/>
  <c r="X124" i="3"/>
  <c r="V235" i="3"/>
  <c r="V237" i="3" s="1"/>
  <c r="V420" i="3" s="1"/>
  <c r="I427" i="3"/>
  <c r="I430" i="3" s="1"/>
  <c r="I431" i="3" s="1"/>
  <c r="J427" i="3"/>
  <c r="J430" i="3" s="1"/>
  <c r="J431" i="3" s="1"/>
  <c r="O155" i="3"/>
  <c r="O156" i="3"/>
  <c r="K156" i="3"/>
  <c r="K155" i="3"/>
  <c r="V199" i="3"/>
  <c r="V201" i="3" s="1"/>
  <c r="V419" i="3" s="1"/>
  <c r="I411" i="3"/>
  <c r="J411" i="3"/>
  <c r="AB427" i="3" l="1"/>
  <c r="AB430" i="3" s="1"/>
  <c r="AB33" i="3" s="1"/>
  <c r="AB415" i="3" s="1"/>
  <c r="Z427" i="3"/>
  <c r="Z430" i="3" s="1"/>
  <c r="Z33" i="3" s="1"/>
  <c r="Z35" i="3" s="1"/>
  <c r="Z416" i="3" s="1"/>
  <c r="Z429" i="3" s="1"/>
  <c r="Z431" i="3" s="1"/>
  <c r="T411" i="3"/>
  <c r="S427" i="3"/>
  <c r="S430" i="3" s="1"/>
  <c r="S431" i="3" s="1"/>
  <c r="AD418" i="3"/>
  <c r="AD427" i="3" s="1"/>
  <c r="AD430" i="3" s="1"/>
  <c r="AD33" i="3" s="1"/>
  <c r="AD415" i="3" s="1"/>
  <c r="Z411" i="3"/>
  <c r="S411" i="3"/>
  <c r="K172" i="3"/>
  <c r="K177" i="3" s="1"/>
  <c r="K418" i="3" s="1"/>
  <c r="K427" i="3" s="1"/>
  <c r="K430" i="3" s="1"/>
  <c r="AB411" i="3"/>
  <c r="T418" i="3"/>
  <c r="T427" i="3" s="1"/>
  <c r="T430" i="3" s="1"/>
  <c r="T431" i="3" s="1"/>
  <c r="V411" i="3"/>
  <c r="V427" i="3"/>
  <c r="V430" i="3" s="1"/>
  <c r="V33" i="3" s="1"/>
  <c r="O172" i="3"/>
  <c r="O177" i="3" s="1"/>
  <c r="X411" i="3"/>
  <c r="X418" i="3"/>
  <c r="X427" i="3" s="1"/>
  <c r="X430" i="3" s="1"/>
  <c r="X33" i="3" s="1"/>
  <c r="M418" i="3"/>
  <c r="M427" i="3" s="1"/>
  <c r="M430" i="3" s="1"/>
  <c r="M431" i="3" s="1"/>
  <c r="M411" i="3"/>
  <c r="Z415" i="3" l="1"/>
  <c r="AB35" i="3"/>
  <c r="AB416" i="3" s="1"/>
  <c r="AB429" i="3" s="1"/>
  <c r="AB431" i="3" s="1"/>
  <c r="K411" i="3"/>
  <c r="K33" i="3" s="1"/>
  <c r="K415" i="3" s="1"/>
  <c r="AD35" i="3"/>
  <c r="AD416" i="3" s="1"/>
  <c r="AD429" i="3" s="1"/>
  <c r="AD431" i="3" s="1"/>
  <c r="O411" i="3"/>
  <c r="O418" i="3"/>
  <c r="O427" i="3" s="1"/>
  <c r="O430" i="3" s="1"/>
  <c r="O431" i="3" s="1"/>
  <c r="V415" i="3"/>
  <c r="V35" i="3"/>
  <c r="V416" i="3" s="1"/>
  <c r="V429" i="3" s="1"/>
  <c r="V431" i="3" s="1"/>
  <c r="X415" i="3"/>
  <c r="X35" i="3"/>
  <c r="X416" i="3" s="1"/>
  <c r="X429" i="3" s="1"/>
  <c r="X431" i="3" s="1"/>
  <c r="K35" i="3" l="1"/>
  <c r="K416" i="3" s="1"/>
  <c r="K429" i="3" s="1"/>
  <c r="K431" i="3" s="1"/>
  <c r="AF405" i="3" l="1"/>
  <c r="AF411" i="3" s="1"/>
  <c r="AF425" i="3" l="1"/>
  <c r="AF427" i="3" s="1"/>
  <c r="AF430" i="3" s="1"/>
  <c r="AF33" i="3" l="1"/>
  <c r="AF415" i="3" s="1"/>
  <c r="AF35" i="3" l="1"/>
  <c r="AF416" i="3" s="1"/>
  <c r="AF429" i="3" s="1"/>
  <c r="AF4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8" authorId="0" shapeId="0" xr:uid="{00000000-0006-0000-0200-000001000000}">
      <text>
        <r>
          <rPr>
            <sz val="11"/>
            <color rgb="FF000000"/>
            <rFont val="Arial2"/>
            <charset val="1"/>
          </rPr>
          <t xml:space="preserve">Anni:
</t>
        </r>
        <r>
          <rPr>
            <sz val="11"/>
            <color rgb="FF000000"/>
            <rFont val="Arial"/>
            <family val="2"/>
            <charset val="1"/>
          </rPr>
          <t xml:space="preserve">Senken? Bzw umverteilen
</t>
        </r>
        <r>
          <rPr>
            <sz val="11"/>
            <color rgb="FF000000"/>
            <rFont val="Arial2"/>
            <charset val="1"/>
          </rPr>
          <t xml:space="preserve">
</t>
        </r>
      </text>
    </comment>
    <comment ref="O168" authorId="0" shapeId="0" xr:uid="{00000000-0006-0000-0200-000002000000}">
      <text>
        <r>
          <rPr>
            <sz val="11"/>
            <color rgb="FF000000"/>
            <rFont val="Arial2"/>
            <charset val="1"/>
          </rPr>
          <t xml:space="preserve">Anni:
</t>
        </r>
        <r>
          <rPr>
            <sz val="11"/>
            <color rgb="FF000000"/>
            <rFont val="Arial"/>
            <family val="2"/>
            <charset val="1"/>
          </rPr>
          <t xml:space="preserve">nach dem Änderungsantrag 2021-39
</t>
        </r>
      </text>
    </comment>
    <comment ref="S181" authorId="0" shapeId="0" xr:uid="{00000000-0006-0000-0200-000004000000}">
      <text>
        <r>
          <rPr>
            <sz val="11"/>
            <color rgb="FF000000"/>
            <rFont val="Arial2"/>
            <charset val="1"/>
          </rPr>
          <t xml:space="preserve">Maximilian Hackländer:
</t>
        </r>
        <r>
          <rPr>
            <sz val="9"/>
            <color rgb="FF000000"/>
            <rFont val="Arial2"/>
            <family val="2"/>
            <charset val="1"/>
          </rPr>
          <t xml:space="preserve">
Für die Beratung müssen noh Gehälter angepasst werden
</t>
        </r>
      </text>
    </comment>
    <comment ref="T181" authorId="0" shapeId="0" xr:uid="{00000000-0006-0000-0200-000006000000}">
      <text>
        <r>
          <rPr>
            <sz val="11"/>
            <color rgb="FF000000"/>
            <rFont val="Arial2"/>
            <charset val="1"/>
          </rPr>
          <t xml:space="preserve">Maximilian Hackländer:
</t>
        </r>
        <r>
          <rPr>
            <sz val="9"/>
            <color rgb="FF000000"/>
            <rFont val="Arial2"/>
            <family val="2"/>
            <charset val="1"/>
          </rPr>
          <t xml:space="preserve">
Für die Beratung müssen noh Gehälter angepasst werden
</t>
        </r>
      </text>
    </comment>
    <comment ref="S202" authorId="0" shapeId="0" xr:uid="{00000000-0006-0000-0200-000005000000}">
      <text>
        <r>
          <rPr>
            <sz val="11"/>
            <color rgb="FF000000"/>
            <rFont val="Arial2"/>
            <charset val="1"/>
          </rPr>
          <t xml:space="preserve">Maximilian Hackländer:
</t>
        </r>
        <r>
          <rPr>
            <sz val="9"/>
            <color rgb="FF000000"/>
            <rFont val="Arial2"/>
            <family val="2"/>
            <charset val="1"/>
          </rPr>
          <t xml:space="preserve">
Für die Teilis müssen die Gehälter noch angepasst werden
</t>
        </r>
      </text>
    </comment>
    <comment ref="T202" authorId="0" shapeId="0" xr:uid="{00000000-0006-0000-0200-000007000000}">
      <text>
        <r>
          <rPr>
            <sz val="11"/>
            <color rgb="FF000000"/>
            <rFont val="Arial2"/>
            <charset val="1"/>
          </rPr>
          <t xml:space="preserve">Maximilian Hackländer:
</t>
        </r>
        <r>
          <rPr>
            <sz val="9"/>
            <color rgb="FF000000"/>
            <rFont val="Arial2"/>
            <family val="2"/>
            <charset val="1"/>
          </rPr>
          <t xml:space="preserve">
Für die Teilis müssen die Gehälter noch angepasst werden
</t>
        </r>
      </text>
    </comment>
    <comment ref="O213" authorId="0" shapeId="0" xr:uid="{00000000-0006-0000-0200-000003000000}">
      <text>
        <r>
          <rPr>
            <sz val="11"/>
            <color rgb="FF000000"/>
            <rFont val="Arial2"/>
            <charset val="1"/>
          </rPr>
          <t xml:space="preserve">Anni:
</t>
        </r>
        <r>
          <rPr>
            <sz val="11"/>
            <color rgb="FF000000"/>
            <rFont val="Arial"/>
            <family val="2"/>
            <charset val="1"/>
          </rPr>
          <t>nach Änderungsantrag 2021-39</t>
        </r>
      </text>
    </comment>
    <comment ref="V213" authorId="0" shapeId="0" xr:uid="{00000000-0006-0000-0200-000008000000}">
      <text>
        <r>
          <rPr>
            <sz val="11"/>
            <color rgb="FF000000"/>
            <rFont val="Arial2"/>
            <charset val="1"/>
          </rPr>
          <t xml:space="preserve">Administrator:
</t>
        </r>
        <r>
          <rPr>
            <sz val="9"/>
            <color rgb="FF000000"/>
            <rFont val="Arial2"/>
            <family val="2"/>
            <charset val="1"/>
          </rPr>
          <t>Hier fehlt noch ein was wieso ist das weniger</t>
        </r>
      </text>
    </comment>
  </commentList>
</comments>
</file>

<file path=xl/sharedStrings.xml><?xml version="1.0" encoding="utf-8"?>
<sst xmlns="http://schemas.openxmlformats.org/spreadsheetml/2006/main" count="2184" uniqueCount="535">
  <si>
    <t>NHH 07/22</t>
  </si>
  <si>
    <t>§ 2 Die veranschlagten Ausgaben haben „Soll-Charakter“ bezogen auf die zu buchenden Aufwendungen.</t>
  </si>
  <si>
    <t>§ 3 Überplanmäßige Einnahmen in den Kontogruppen 3|1|00|00, 3|3|00|00, 3|4|00|00 und 3|5|00|00 stehen den jeweiligen Referaten, dem Parlament oder den Fachschaften in vollem Umfang zur Verfügung (per Sollaufstockung).</t>
  </si>
  <si>
    <t>§ 4 Gemäß § 10 der Wirtschaftsordnung der Studierendenschaft sind die zu den Titelgruppen 5|1|00|00, 5|2|00|00, 5|3|00|00, 5|4|00|00, 5|5|00|00  und 5|6|00|00 eingerichteten Haushaltsfonds einseitig deckungsfähig zugunsten aller Untertitel dieser Gruppen.</t>
  </si>
  <si>
    <t>§ 5 Alle Titel der Kontogruppen 5|1|01|00, 5|1|02|00, 5|1|03|00, 5|1|04|00, 5|1|05|00, 5|1|06|00, 5|1|07|00, 5|1|08|00, 5|1|09|00, 5|1|10|00, 5|1|11|00, 5|1|13|00, 5|1|96|00, 5|1|97|00, 5|1|98|00, 5|3|01|00, 5|3|02|00, 5|3|03|00, 5|3|04|00, 5|3|99|00, 5|4|01|00, 5|4|02|00, 5|4|99|00, 5|6|00|00 sind innerhalb der jeweiligen Kontengruppe gegenseitig deckungsfähig.</t>
  </si>
  <si>
    <t>§ 6 Alle Titel der Kategorie 5|1|00|00 sind einseitig deckungsfähig zugunsten aller Titel der Kategorie 5|2|00|00.</t>
  </si>
  <si>
    <t>§ 7 Alle Titel der Kategorie 5|1|00|00 sind einseitig deckungsfähig zugunsten aller Titel der Kontogruppen 5|1|96|00, 5|1|97|00, 5|1|98|00 und der Kategorie 5|6|00|00.</t>
  </si>
  <si>
    <t>§ 9 Alle Titel der Kategorien 5|1|00|00, 5|4|00|00 und 5|6|00|00 sind einseitig deckungsfähig zugunsten des Titels 5|4|01|00.</t>
  </si>
  <si>
    <t>§ 10 Alle Untertitel der Kontogruppen 5|3|01|00, 5|3|02|00, 5|3|03|00 und 5|3|04|00 sind einseitig deckungsfähig zugunsten des Kontos 5|3|99|00.</t>
  </si>
  <si>
    <t>NHH 03/22</t>
  </si>
  <si>
    <t>NHH 0X/22</t>
  </si>
  <si>
    <t>NHH zum 07/22</t>
  </si>
  <si>
    <t>Differnez</t>
  </si>
  <si>
    <t>KT</t>
  </si>
  <si>
    <t>Deckblatt</t>
  </si>
  <si>
    <t>X</t>
  </si>
  <si>
    <t>|</t>
  </si>
  <si>
    <t>XX</t>
  </si>
  <si>
    <t>Art</t>
  </si>
  <si>
    <t>Zu § 1: Festlegung der Haushaltsperiode. Änderung nur über Wirtschaftsordnung möglich</t>
  </si>
  <si>
    <t>Einnahmen</t>
  </si>
  <si>
    <t>Zu § 2: Konkrete Ausgaben können erst durch den AStA beschlossen werden.</t>
  </si>
  <si>
    <t>Ausgaben</t>
  </si>
  <si>
    <t>Zu § 3: Die Kategorien beziehen sich auf die Einnahmen der jeweiligen Gruppe</t>
  </si>
  <si>
    <t>Kategorie</t>
  </si>
  <si>
    <t>Zu § 5: Alle AStA Referate jeweils, AStA-Gemeinsame Projekte, AStA-Kooperationen, AStA-übergreifende Kosten, alle Teilautonomen Referate jeweils, Teilautonome-Übergreifende Kosten, Wahlen, Präsidium, Parlament-Übergreifende Kosten, Übergreifende Sachkosten (ausgenommen Semesterticket Härtefonds).</t>
  </si>
  <si>
    <t>AStA</t>
  </si>
  <si>
    <t>Zu § 6: AStA zu AStA-Beratung</t>
  </si>
  <si>
    <t>AStA-Beratung</t>
  </si>
  <si>
    <t>Zu § 7: AStA zu übergreifende Kosten 510000 und zu Übergreifende Sachkosten</t>
  </si>
  <si>
    <t>Teilautonome</t>
  </si>
  <si>
    <t>Parlament</t>
  </si>
  <si>
    <t>Zu § 9: AStA, Parlament und übergreifende Sachkosten zu Wahlen</t>
  </si>
  <si>
    <t>Fachschaftsräte</t>
  </si>
  <si>
    <t>Zu § 10: RIS, RBCS, Queer und Alle Frauen*-Referat zu Sonstiges (Teilautonome)</t>
  </si>
  <si>
    <t>Übergreifend</t>
  </si>
  <si>
    <t>Haushaltsfonds</t>
  </si>
  <si>
    <t>Rücklagen</t>
  </si>
  <si>
    <t>Changelog</t>
  </si>
  <si>
    <t>Kontogruppe</t>
  </si>
  <si>
    <t>laufende Nummern innerhalb der Kategorie</t>
  </si>
  <si>
    <t>z.B. nach Referaten oder Fakultäten</t>
  </si>
  <si>
    <t>Laufender Haushalt</t>
  </si>
  <si>
    <t>Konto</t>
  </si>
  <si>
    <t>laufende Nummern innerhalb der Gruppe</t>
  </si>
  <si>
    <t>- Alle Ausgaben der VS werden (ausgenommen personenbezogene Daten) vollständig und kommentiert veröffentlicht, damit eine höhere Transparenz geschaffen wird.</t>
  </si>
  <si>
    <t>z.B. nach Sachkosten, Projektkräften</t>
  </si>
  <si>
    <t>oder Fachschaftsräten</t>
  </si>
  <si>
    <t>- Die Trennstriche bei der Kontierung dienen zur besseren Lesbarkeit des Haushaltsplans (siehe links). In der Buchhaltung werden diese nicht verwendet.</t>
  </si>
  <si>
    <t>Titel</t>
  </si>
  <si>
    <t>HH 18/19</t>
  </si>
  <si>
    <t>HH 19/20</t>
  </si>
  <si>
    <t>NHH 19/20</t>
  </si>
  <si>
    <t>HH 20/21</t>
  </si>
  <si>
    <t>NHH 20/21</t>
  </si>
  <si>
    <t>HH 21/22</t>
  </si>
  <si>
    <t>NHH 21/22 [alt]</t>
  </si>
  <si>
    <t>NHH 21/22 [neu]</t>
  </si>
  <si>
    <t>HH 22/23</t>
  </si>
  <si>
    <t>NHH 22/23</t>
  </si>
  <si>
    <t>NHH 23/24</t>
  </si>
  <si>
    <t>HH 24/25</t>
  </si>
  <si>
    <t>Soll</t>
  </si>
  <si>
    <t>Ist 2021/04</t>
  </si>
  <si>
    <t>Ist 2020/07</t>
  </si>
  <si>
    <t>Ist 04/22</t>
  </si>
  <si>
    <t>Ist 06/22</t>
  </si>
  <si>
    <t>Ist 02/23</t>
  </si>
  <si>
    <t>Ist 09/23</t>
  </si>
  <si>
    <t>Bemerkungen</t>
  </si>
  <si>
    <t>00</t>
  </si>
  <si>
    <t>Einnahmen Verfasste Studierendenschaft</t>
  </si>
  <si>
    <t>Einnahmen Allgemeiner Studierendenausschuss</t>
  </si>
  <si>
    <t>04</t>
  </si>
  <si>
    <t>Werbung</t>
  </si>
  <si>
    <t>07</t>
  </si>
  <si>
    <t>Außerordentliche Einnahmen</t>
  </si>
  <si>
    <t>05</t>
  </si>
  <si>
    <t>Erträge abgeschriebener Forderungen</t>
  </si>
  <si>
    <t>97</t>
  </si>
  <si>
    <t>Einnahmen aus gemeinsamen Projekten</t>
  </si>
  <si>
    <t>01</t>
  </si>
  <si>
    <t>Kulturkurse &amp; Tutorien</t>
  </si>
  <si>
    <t>Zweckgebundene Einnahmen für "Kulturkurse &amp; Tutorien" (519701) nach §9 der Wirtschaftsordnung.</t>
  </si>
  <si>
    <t>02</t>
  </si>
  <si>
    <t>Studierendenfestival</t>
  </si>
  <si>
    <t>03</t>
  </si>
  <si>
    <t>Aktivitäten / Veranstaltungen</t>
  </si>
  <si>
    <t>98</t>
  </si>
  <si>
    <t>Einnahmen aus Kooperationen</t>
  </si>
  <si>
    <t>99</t>
  </si>
  <si>
    <t>sonstige Einnahmen</t>
  </si>
  <si>
    <t>∑ 3|1|00|00</t>
  </si>
  <si>
    <t>Einnahmen Teilautonome AStA-Referate</t>
  </si>
  <si>
    <t>Einnahmen Parlament</t>
  </si>
  <si>
    <t>Einnahmen der Fachschaften</t>
  </si>
  <si>
    <t>übergreifende Einnahmen</t>
  </si>
  <si>
    <t>Semesterbeiträge Studierende</t>
  </si>
  <si>
    <t>Beiträge der Studierenden sind keine originären Einnahmen des AStA, sondern der gesamten Studierendenschaft. Zudem jetzt aufgegliedert in die einzelnen Bestandteile für eine bessere Transparenz. Studierendenzahlen gemäß vorheriger Abrechnungen.</t>
  </si>
  <si>
    <t>Voll Zahlende</t>
  </si>
  <si>
    <t>HAW-Doppelzahler</t>
  </si>
  <si>
    <t>TUHH-Doppelzahler</t>
  </si>
  <si>
    <t>∑ 3|6|01|00</t>
  </si>
  <si>
    <t>Zinsen</t>
  </si>
  <si>
    <t>∑ 3|6|00|00</t>
  </si>
  <si>
    <t>Entnahme aus Allgemeiner Rücklage / Eigenkapital</t>
  </si>
  <si>
    <t>∑ 3|0|00|00</t>
  </si>
  <si>
    <t>Vorstand</t>
  </si>
  <si>
    <t>Sachkosten</t>
  </si>
  <si>
    <t>AStA-Sekreteriat</t>
  </si>
  <si>
    <t>Aufwandsentschädigungen</t>
  </si>
  <si>
    <t>Projektkräfte</t>
  </si>
  <si>
    <t>∑ 5|1|01|00</t>
  </si>
  <si>
    <t>Finanzreferat</t>
  </si>
  <si>
    <t>Festangestellte</t>
  </si>
  <si>
    <t>∑ 5|1|02|00</t>
  </si>
  <si>
    <t>Öffentlichkeit</t>
  </si>
  <si>
    <t>Publikationen (Öffentlichkeitsarbeit)</t>
  </si>
  <si>
    <t>06</t>
  </si>
  <si>
    <t>Honorare/Gehälter Publikationsverbreitung</t>
  </si>
  <si>
    <t>∑ 5|1|03|00</t>
  </si>
  <si>
    <t>Infotreff</t>
  </si>
  <si>
    <t>Sachkosten Infotreff</t>
  </si>
  <si>
    <t>Personal Infotreff</t>
  </si>
  <si>
    <t>∑ 5|1|04|00</t>
  </si>
  <si>
    <t>Hochschulpolitik, Vernetzung</t>
  </si>
  <si>
    <t>∑ 5|1|05|00</t>
  </si>
  <si>
    <t>Soziales</t>
  </si>
  <si>
    <t>∑ 5|1|06|00</t>
  </si>
  <si>
    <t>Soziale Bewegung</t>
  </si>
  <si>
    <t>Projektkraft beim Admin</t>
  </si>
  <si>
    <t>∑ 5|1|07|00</t>
  </si>
  <si>
    <t>08</t>
  </si>
  <si>
    <t>Kultur</t>
  </si>
  <si>
    <t>Projektkraft Kulturkurse</t>
  </si>
  <si>
    <t>∑ 5|1|08|00</t>
  </si>
  <si>
    <t>09</t>
  </si>
  <si>
    <t>Nachhaltigkeit und Mobilität</t>
  </si>
  <si>
    <t>∑ 5|1|09|00</t>
  </si>
  <si>
    <t>10</t>
  </si>
  <si>
    <t>Antidiskriminierung</t>
  </si>
  <si>
    <t>∑ 5|1|10|00</t>
  </si>
  <si>
    <t>11</t>
  </si>
  <si>
    <t>Klimakrise</t>
  </si>
  <si>
    <t>∑ 5|1|11|00</t>
  </si>
  <si>
    <t>12</t>
  </si>
  <si>
    <t>Mobilität und Vernetzung</t>
  </si>
  <si>
    <t>∑ 5|1|12|00</t>
  </si>
  <si>
    <t>13</t>
  </si>
  <si>
    <t>∑ 5|1|13|00</t>
  </si>
  <si>
    <t>nachrichtlich: ∑ Sachkosten</t>
  </si>
  <si>
    <t>nachrichtlich: ∑ Projektkräfte</t>
  </si>
  <si>
    <t>nachrichtlich: ∑ Aufwandsentschädigungen</t>
  </si>
  <si>
    <t>nachrichtlich: ∑ oben stehende</t>
  </si>
  <si>
    <t>nachrichtlich: ∑ Festangestellte</t>
  </si>
  <si>
    <t>96</t>
  </si>
  <si>
    <t>AStA Gemeinsame Projekte</t>
  </si>
  <si>
    <t>Aktionen, Veranstaltungen &amp; Demos</t>
  </si>
  <si>
    <t>Klimademonstrationen und -aktionen</t>
  </si>
  <si>
    <t>Ringvorlesung 1,5 grad</t>
  </si>
  <si>
    <t>Demonstrationen (Eigene)</t>
  </si>
  <si>
    <t>zusammengelegt zu Aktionen, Veranstaltungen &amp; Demo</t>
  </si>
  <si>
    <t>Demonstrationen und Veranstaltungen (nicht eigene)</t>
  </si>
  <si>
    <t>Publikationen (Allgemein)</t>
  </si>
  <si>
    <t>∑ 5|1|96|00</t>
  </si>
  <si>
    <t>Kooperationen</t>
  </si>
  <si>
    <t>Initiativen</t>
  </si>
  <si>
    <t>Uni-Eltern</t>
  </si>
  <si>
    <t>Vorlesung "Jenseits der Geschlechtergrenzen"</t>
  </si>
  <si>
    <t>Kultur Freikarte</t>
  </si>
  <si>
    <t>Mitgliedschaft FZS</t>
  </si>
  <si>
    <t>fzs Vollmitgliedschaft</t>
  </si>
  <si>
    <t>Mitgliedschaft DAAD</t>
  </si>
  <si>
    <t>Freiräume</t>
  </si>
  <si>
    <t>Mitgliedschaft BAS</t>
  </si>
  <si>
    <t>wird umgelegt, falls nicht gebraucht</t>
  </si>
  <si>
    <t>∑ 5|1|97|00</t>
  </si>
  <si>
    <t>übergreifende Kosten 510000</t>
  </si>
  <si>
    <t>I</t>
  </si>
  <si>
    <t>20</t>
  </si>
  <si>
    <t>Periodenfremde Aufwendungen</t>
  </si>
  <si>
    <t>Sozialversicherungsabgaben AStA</t>
  </si>
  <si>
    <t>Schätzung Anhand Personalkosten und vergangener Kosten</t>
  </si>
  <si>
    <t>Pauschalsteuer</t>
  </si>
  <si>
    <t>Über- / Vertretungsstunden</t>
  </si>
  <si>
    <t>freiwillige soziale Leistungen</t>
  </si>
  <si>
    <t>Vertragskosten Rechtsanwalt</t>
  </si>
  <si>
    <t>Reisekosten AStA</t>
  </si>
  <si>
    <t>Büroräume/Ausstattung AStA</t>
  </si>
  <si>
    <t>Technik AStA</t>
  </si>
  <si>
    <t>Bürobedarf AStA</t>
  </si>
  <si>
    <t>Rechtskosten AStA, Musterklagen, Kostenübernahmen</t>
  </si>
  <si>
    <t>Wasserspender</t>
  </si>
  <si>
    <t>Fortbildungen Angestellte</t>
  </si>
  <si>
    <t>14</t>
  </si>
  <si>
    <t>15</t>
  </si>
  <si>
    <t>Gebärdensprachdolmetscher*innen/Schriftmittler*innen</t>
  </si>
  <si>
    <t>Topf kann von allen Gliederungen der VS angefragt werden</t>
  </si>
  <si>
    <t>16</t>
  </si>
  <si>
    <t>Arbeitssicherheit</t>
  </si>
  <si>
    <t>KSK</t>
  </si>
  <si>
    <t>laufender Betrieb</t>
  </si>
  <si>
    <t>GEZ</t>
  </si>
  <si>
    <t>∑ 5|1|98|00</t>
  </si>
  <si>
    <t>Globale Minderausgabe</t>
  </si>
  <si>
    <t>Die globale Minderausgabe antizipiert, dass im Regelfall weniger Ausgaben stattfinden, als im Haushalt eingeplant. Sie ermöglicht insofern die mehrfache Verplanung von Mitteln, um dem Gebot eines ausgeglichenen Haushalts auch realistisch nachzukommen.</t>
  </si>
  <si>
    <t xml:space="preserve"> Da die globale Minderausgabe aber ebenfalls dazu führen kann, dass Ausgaben über dem Soll stattfinden, muss sie stetiger Überprüfung unterliegen und notfalls nachträglich angepasst werden.</t>
  </si>
  <si>
    <t>∑ 5|1|00|00</t>
  </si>
  <si>
    <t>Personal</t>
  </si>
  <si>
    <t>Festangestellte / Koordination</t>
  </si>
  <si>
    <t>Steuerberatung</t>
  </si>
  <si>
    <t>Psychologische Beratung</t>
  </si>
  <si>
    <t>SRS-Beratung</t>
  </si>
  <si>
    <t>BAföG-Beratung</t>
  </si>
  <si>
    <t>Elternberatung</t>
  </si>
  <si>
    <t>Arbeitsrechtsberatung</t>
  </si>
  <si>
    <t>Semesterticket Härtefonds</t>
  </si>
  <si>
    <t>∑ 5|2|02|00</t>
  </si>
  <si>
    <t>Fortbildungen</t>
  </si>
  <si>
    <t>übergreifende Kosten 520000</t>
  </si>
  <si>
    <t>Sozialversicherungsabgaben</t>
  </si>
  <si>
    <t>Berechnet anhand von Personalkosten</t>
  </si>
  <si>
    <t>Büroräume/Ausstattung</t>
  </si>
  <si>
    <t>Bürobedarf</t>
  </si>
  <si>
    <t>∑ 5|2|98|00</t>
  </si>
  <si>
    <t>∑ 5|2|00|00</t>
  </si>
  <si>
    <t>Teilautonome AStA-Referate</t>
  </si>
  <si>
    <t>Referat für internationale Studierende (RIS)</t>
  </si>
  <si>
    <t>Sachkosten RIS</t>
  </si>
  <si>
    <t>Aufwandsentschädigung RIS</t>
  </si>
  <si>
    <t>Kosten durch bestehende Verträge</t>
  </si>
  <si>
    <t>Projektkräfte / Berater / Honorar RIS</t>
  </si>
  <si>
    <t>∑ 5|3|01|00</t>
  </si>
  <si>
    <t>Erhöhung entsprechend AE und Lohnerhöhungen</t>
  </si>
  <si>
    <t>Referat für behinderte und chronisch kranke Studierende (RBCS)</t>
  </si>
  <si>
    <t>Sachkosten RBCS</t>
  </si>
  <si>
    <t>Aufwandsentschädigung RBCS</t>
  </si>
  <si>
    <t>Projektkräfte / Berater / Honorar RBCS</t>
  </si>
  <si>
    <t>-</t>
  </si>
  <si>
    <t>∑ 5|3|02|00</t>
  </si>
  <si>
    <t>Queer-Referat (Queer)</t>
  </si>
  <si>
    <t>Sachkosten Queer</t>
  </si>
  <si>
    <t>Aufwandsentschädigung Queer</t>
  </si>
  <si>
    <t>Projektkräfte / Berater / Honorar Queer</t>
  </si>
  <si>
    <t>Queere Hochschulwoche</t>
  </si>
  <si>
    <t>Christopher Street Day</t>
  </si>
  <si>
    <t>∑ 5|3|03|00</t>
  </si>
  <si>
    <t>Alle Frauen*-Referat</t>
  </si>
  <si>
    <t>Sachkosten Alle Frauen*-Referat</t>
  </si>
  <si>
    <t>Aufwandsentschädigung Alle Frauen*-Referat</t>
  </si>
  <si>
    <t>Projektkräfte / Berater / Honorar Alle Frauen*-Referat</t>
  </si>
  <si>
    <t>∑ 5|3|04|00</t>
  </si>
  <si>
    <t>übergreifende Kosten</t>
  </si>
  <si>
    <t>Sozialversicherungsabgaben Teilautonome</t>
  </si>
  <si>
    <t>sonstiges</t>
  </si>
  <si>
    <t>∑ 5|3|99|00</t>
  </si>
  <si>
    <t>∑ 5|3|00|00</t>
  </si>
  <si>
    <t>Wahlen</t>
  </si>
  <si>
    <t>Wahlpersonal</t>
  </si>
  <si>
    <t>Wahlauszählung</t>
  </si>
  <si>
    <t>Wahlen - Sonstiges</t>
  </si>
  <si>
    <t>∑ 5|4|01|00</t>
  </si>
  <si>
    <t>Präsidium</t>
  </si>
  <si>
    <t>Öffentlichkeitsarbeit</t>
  </si>
  <si>
    <t>Büroräume / Ausstattung</t>
  </si>
  <si>
    <t>Veranstaltungen</t>
  </si>
  <si>
    <t>Personal (Hilfskräfte, freie Mitarbeiter)</t>
  </si>
  <si>
    <t>∑ 5|4|02|00</t>
  </si>
  <si>
    <t>Ausschüsse (ohne AStA)</t>
  </si>
  <si>
    <t>übergreifende Kosten 530000</t>
  </si>
  <si>
    <t>Sozialversicherungsabgaben Parlament</t>
  </si>
  <si>
    <t>Rechtskosten Parlament</t>
  </si>
  <si>
    <t>Reisekosten Parlament</t>
  </si>
  <si>
    <t>∑ 5|4|99|00</t>
  </si>
  <si>
    <t>∑ 5|4|00|00</t>
  </si>
  <si>
    <t>Rechtswissenschaft</t>
  </si>
  <si>
    <t>Jura</t>
  </si>
  <si>
    <t>Durchschnitt 2018 + 2021 bis 2023 aufgerundet</t>
  </si>
  <si>
    <t>∑ 5|5|01|00</t>
  </si>
  <si>
    <t>Wirtschafts- und Sozialwissenschaften</t>
  </si>
  <si>
    <t>Economics</t>
  </si>
  <si>
    <t>Health Economics</t>
  </si>
  <si>
    <t>Human Ressource Management</t>
  </si>
  <si>
    <t>Internationale Kriminologie</t>
  </si>
  <si>
    <t>Journalistik und Kommunikationswissenschaften</t>
  </si>
  <si>
    <t xml:space="preserve">Politics, Economics, Philosophy </t>
  </si>
  <si>
    <t>Sozialökonomie</t>
  </si>
  <si>
    <t xml:space="preserve">Sozialwissenschaften  </t>
  </si>
  <si>
    <t>Wirtschaft und Kultur Chinas</t>
  </si>
  <si>
    <t>Wirtschaftswissenschaften</t>
  </si>
  <si>
    <t>∑ 5|5|02|00</t>
  </si>
  <si>
    <t>Medizin</t>
  </si>
  <si>
    <t>Durchschnitt 2018-23 aufgerundet</t>
  </si>
  <si>
    <t>Zahnmedizin</t>
  </si>
  <si>
    <t>Hebammenwissenschaft</t>
  </si>
  <si>
    <t>∑ 5|5|03|00</t>
  </si>
  <si>
    <t>Erziehungswissenschaft</t>
  </si>
  <si>
    <t>GewerbelehrerInnen</t>
  </si>
  <si>
    <t>HandelslehrerInnen</t>
  </si>
  <si>
    <t>Sonderpädagogik</t>
  </si>
  <si>
    <t>∑ 5|5|04|00</t>
  </si>
  <si>
    <t>Geisteswissenschaften</t>
  </si>
  <si>
    <t>Afrikanistik &amp; Äthiopistik</t>
  </si>
  <si>
    <t>Anglistik &amp; Amerikanistik</t>
  </si>
  <si>
    <t xml:space="preserve">Archäologie  </t>
  </si>
  <si>
    <t>Austronesistik</t>
  </si>
  <si>
    <t>Ethnologie</t>
  </si>
  <si>
    <t>Finnougristik /Uralistik</t>
  </si>
  <si>
    <t>GebärdendolmetscherInnen</t>
  </si>
  <si>
    <t>Gebärdensprachen</t>
  </si>
  <si>
    <t>Germanistik</t>
  </si>
  <si>
    <t xml:space="preserve">Geschichte  </t>
  </si>
  <si>
    <t>Indologie / Tibetologie</t>
  </si>
  <si>
    <t>Iranistik</t>
  </si>
  <si>
    <t>Islamwissenschaften</t>
  </si>
  <si>
    <t>Japanologie</t>
  </si>
  <si>
    <t>Klassische Griechische und Lateinische Philologie</t>
  </si>
  <si>
    <t>Koreanistik</t>
  </si>
  <si>
    <t>17</t>
  </si>
  <si>
    <t>Kunstgeschichte</t>
  </si>
  <si>
    <t>18</t>
  </si>
  <si>
    <t>Lateinamerikastudien</t>
  </si>
  <si>
    <t>19</t>
  </si>
  <si>
    <t>Medienkultur, Medien und Kommunikationswissenschaften</t>
  </si>
  <si>
    <t>Musikwissenschaften</t>
  </si>
  <si>
    <t>21</t>
  </si>
  <si>
    <t>Osteuropastudien</t>
  </si>
  <si>
    <t>22</t>
  </si>
  <si>
    <t xml:space="preserve">Philosophie  </t>
  </si>
  <si>
    <t>23</t>
  </si>
  <si>
    <t>Romanistik</t>
  </si>
  <si>
    <t>24</t>
  </si>
  <si>
    <t>Sinologie</t>
  </si>
  <si>
    <t>25</t>
  </si>
  <si>
    <t>Slavistik</t>
  </si>
  <si>
    <t>26</t>
  </si>
  <si>
    <t>27</t>
  </si>
  <si>
    <t>Thaiistik</t>
  </si>
  <si>
    <t>28</t>
  </si>
  <si>
    <t>29</t>
  </si>
  <si>
    <t>Theologie (katholisch)</t>
  </si>
  <si>
    <t>30</t>
  </si>
  <si>
    <t>Turkologie</t>
  </si>
  <si>
    <t>31</t>
  </si>
  <si>
    <t>Vietnamstudien</t>
  </si>
  <si>
    <t>32</t>
  </si>
  <si>
    <t>∑ 5|5|05|00</t>
  </si>
  <si>
    <t>Mathematik, Informatik &amp; Naturwissenschaften</t>
  </si>
  <si>
    <t>Biologie</t>
  </si>
  <si>
    <t>Chemie und Lebensmittelchemie</t>
  </si>
  <si>
    <t>Geographie</t>
  </si>
  <si>
    <t>Geophysik</t>
  </si>
  <si>
    <t>Geowissenschaften</t>
  </si>
  <si>
    <t xml:space="preserve">Informatik  </t>
  </si>
  <si>
    <t>Integrated Climate System Sciences</t>
  </si>
  <si>
    <t>Mathematik</t>
  </si>
  <si>
    <t>Meteorologie</t>
  </si>
  <si>
    <t>Molecular Life Sciences</t>
  </si>
  <si>
    <t>Nanowissenschaften</t>
  </si>
  <si>
    <t>Ozeanographie</t>
  </si>
  <si>
    <t>Pharmazie</t>
  </si>
  <si>
    <t xml:space="preserve">Physik    </t>
  </si>
  <si>
    <t>Wirtschaftsinformatik</t>
  </si>
  <si>
    <t>∑ 5|5|06|00</t>
  </si>
  <si>
    <t>Psychologie und Bewegungswissenschaft</t>
  </si>
  <si>
    <t>Psychologie</t>
  </si>
  <si>
    <t>Sportwissenschaften</t>
  </si>
  <si>
    <t>∑ 5|5|07|00</t>
  </si>
  <si>
    <t>Betriebswirtschaft</t>
  </si>
  <si>
    <t>Wirtschaftsingenieure</t>
  </si>
  <si>
    <t>∑ 5|5|08|00</t>
  </si>
  <si>
    <t>Fachschaftsvernetzung</t>
  </si>
  <si>
    <t>Sachmittel Vernetzung</t>
  </si>
  <si>
    <t>Besondere Aktionen &amp; gemeinsame Veranstaltungen</t>
  </si>
  <si>
    <t>Personalmittel Fachschaftsvernetzung</t>
  </si>
  <si>
    <t>Fahrten zu Bundesfachschaftentagungen</t>
  </si>
  <si>
    <t>Bundesfachschaftentagungen in Hamburg</t>
  </si>
  <si>
    <t>Vereinsmitgliedschaften FSRe</t>
  </si>
  <si>
    <t>∑ 5|5|09|00</t>
  </si>
  <si>
    <t>Siehe Titel 5|1|99|00</t>
  </si>
  <si>
    <t>∑ 5|5|00|00</t>
  </si>
  <si>
    <t>Übergreifende Sachkosten</t>
  </si>
  <si>
    <t>EDV</t>
  </si>
  <si>
    <t>Hardware, Installation</t>
  </si>
  <si>
    <t>Wartung, Administration (inkl. Telefonanlage)</t>
  </si>
  <si>
    <t>Software, Nutzungsgebühren</t>
  </si>
  <si>
    <t>Kopierer, Drucker</t>
  </si>
  <si>
    <t>Telefonie</t>
  </si>
  <si>
    <t>∑ 5|6|01|00</t>
  </si>
  <si>
    <t>Versicherungen</t>
  </si>
  <si>
    <t>Kosten Finanzbuchhaltung</t>
  </si>
  <si>
    <t>Kosten des Geldverkehrs</t>
  </si>
  <si>
    <t>Wirtschaftsprüfung</t>
  </si>
  <si>
    <t>Steuerberatung &amp; Jahresabschluss</t>
  </si>
  <si>
    <t>∑ 5|6|04|00</t>
  </si>
  <si>
    <t>∑ 5|6|00|00</t>
  </si>
  <si>
    <t>Beratung</t>
  </si>
  <si>
    <t>∑ 5|7|00|00</t>
  </si>
  <si>
    <t>Zuführung Allgemeine Rücklage / Aufbau Eigenkapital</t>
  </si>
  <si>
    <t>Zuführung Sonderrücklage Liquiditätssicherung</t>
  </si>
  <si>
    <t>∑ 5|8|00|00</t>
  </si>
  <si>
    <t>Haushaltsergebnis</t>
  </si>
  <si>
    <t>∑ 5|0|00|00</t>
  </si>
  <si>
    <t>∑ 3|1|00|00 Allgemeiner Studierendenausschuss</t>
  </si>
  <si>
    <t>∑ 3|6|00|00 übergreifende Einnahmen</t>
  </si>
  <si>
    <t>∑ 3|8|00|00 Entnahme aus Allgemeiner Rücklage / Eigenkapital</t>
  </si>
  <si>
    <t>∑ 3|0|00|00 Verfasste Studierendenschaft</t>
  </si>
  <si>
    <t>1.013.043,05€</t>
  </si>
  <si>
    <t>∑ 5|1|00|00 AStA</t>
  </si>
  <si>
    <t>∑ 5|1|00|00 AStA-Beratung</t>
  </si>
  <si>
    <t>∑ 5|3|00|00 Teilautonome Referate</t>
  </si>
  <si>
    <t>∑ 5|4|00|00 Parlament</t>
  </si>
  <si>
    <t>∑ 5|5|00|00 Fachschaftsräte</t>
  </si>
  <si>
    <t>∑ 5|6|00|00 Übergreifende Sachkosten</t>
  </si>
  <si>
    <t>∑ 5|7|00|00 Haushaltsfonds</t>
  </si>
  <si>
    <t>∑ 5|8|00|00 Rücklagen</t>
  </si>
  <si>
    <t>∑ 5|9|00|00 Haushaltsergebnis</t>
  </si>
  <si>
    <t>∑ 5|0|00|00 Ausgaben Gesamt</t>
  </si>
  <si>
    <t>1.013.782,05€</t>
  </si>
  <si>
    <t>Saldo</t>
  </si>
  <si>
    <t>Zu § 4: 5|7|01|00 zu 5|1|00|00 (AStA), 5|7|02|00 zu 5|2|00|00 (Beratung), 5|7|03|00 zu 5|3|00|00 (Teilautonome), 5|7|04|00 zu 5|4|00|00 (Parlament), 5|7|05|00 zu 5|5|00|00 (Fachschaftsräte), 5|7|06|00 zu 5|6|00|00(Übergreifende Sachkosten)</t>
  </si>
  <si>
    <t>unter vergangenem ist, aber absehbar</t>
  </si>
  <si>
    <t>voraussichtlich Neuausschreibung</t>
  </si>
  <si>
    <t>2 Projektkräfte; + 2 Tvstud; Stundenlohn 15€/h</t>
  </si>
  <si>
    <t>2,5 Projektkräfte; Stundenlohn 15€/h</t>
  </si>
  <si>
    <t>4 Projektkräfte; Stundenlohn 15€/h</t>
  </si>
  <si>
    <t>Stundenlohn 15€/h</t>
  </si>
  <si>
    <t>Zusammenlegung Briefwahl, Drucksachen + 540102 + 540103 + 540104</t>
  </si>
  <si>
    <t>Durchschnitt 2018 + 2021 bis 2024 aufgerundet</t>
  </si>
  <si>
    <t>Durchschnitt 2018-24 aufgerundet</t>
  </si>
  <si>
    <t>Campusbegrünung</t>
  </si>
  <si>
    <t>Semesterticket</t>
  </si>
  <si>
    <t>Soll 23/24</t>
  </si>
  <si>
    <t xml:space="preserve">   Beitrag Semesterticket </t>
  </si>
  <si>
    <t>Verwaltet durch UHH (Ist Stand nicht rückgemeldet)</t>
  </si>
  <si>
    <t xml:space="preserve">   Kosten Semesterticket</t>
  </si>
  <si>
    <t>Einnahmen Semesterticket</t>
  </si>
  <si>
    <t>∑ Einnahmen</t>
  </si>
  <si>
    <t>∑ Ausgaben</t>
  </si>
  <si>
    <t>Soll 24/25</t>
  </si>
  <si>
    <t>Angekündigte Kosten</t>
  </si>
  <si>
    <t>HH 23/24</t>
  </si>
  <si>
    <t>29200€ abzgl. Aufwandsentschädigung und Gehälter</t>
  </si>
  <si>
    <t>29200€ abzgl. Aufwandsentschädigung und Gehälter; 6300€ aus Änderungsantrag 2021-39 werden nicht weitergeführt</t>
  </si>
  <si>
    <t>29200€ abzgl. Aufwandsentschädigung und Gehälter + 4000€ für CSD</t>
  </si>
  <si>
    <t>Neues Maximum des Budgets</t>
  </si>
  <si>
    <t>Gemeinsame Projekte zu 1/4</t>
  </si>
  <si>
    <t>Durchschnitt 2023 aufgerundet</t>
  </si>
  <si>
    <t xml:space="preserve">Uni-Marketing: Einnahmen gemäß Vertrag; Vetrag läuft aus, Verlängerung ist wahrscheinlich; </t>
  </si>
  <si>
    <t>Projekte gegen Wohnungsnot</t>
  </si>
  <si>
    <t>Holzwissenschaft / Holzwirtschaft</t>
  </si>
  <si>
    <t>(Allgemeine) Sprachwissenschaften</t>
  </si>
  <si>
    <t>Empirische Kulturwissenschaft / Volkskunde Kulturanthrolopogie</t>
  </si>
  <si>
    <t>Theologie (evangelisch) und Religionswissenschaften</t>
  </si>
  <si>
    <t>Erziehungs &amp; Bildungswissenschaften / Pädagogik</t>
  </si>
  <si>
    <t>Lehramt allg. bildene Schulen</t>
  </si>
  <si>
    <t>§ 11 Alle Titel der Kontogruppe 5|4|02|00 und der Titel 5|1|98|11 sind einseitig deckungsfähig zugunsten des Kontos 5|4|99|03.</t>
  </si>
  <si>
    <t>Zu § 11: Präsidium und Rechtskosten AStA zu Rechtskosten Parlament</t>
  </si>
  <si>
    <t>neu: 5|1|96|07; geändert; 5|4|01|01 zu Wahlen</t>
  </si>
  <si>
    <t>Ausgaben Semesterticket</t>
  </si>
  <si>
    <t>Beitrag steht fest und keine weiteren Gründungskosten</t>
  </si>
  <si>
    <t>2019</t>
  </si>
  <si>
    <t>2020</t>
  </si>
  <si>
    <t xml:space="preserve">SoSe 21 </t>
  </si>
  <si>
    <t>WiSe 21/22</t>
  </si>
  <si>
    <t>SoSe 22</t>
  </si>
  <si>
    <t>WiSe 22/23</t>
  </si>
  <si>
    <t>SoSe 23</t>
  </si>
  <si>
    <t>WiSe23/24</t>
  </si>
  <si>
    <t>Semestertickethärtefonds</t>
  </si>
  <si>
    <t>Einnahmen SeTiHäFo</t>
  </si>
  <si>
    <t>Vortrag</t>
  </si>
  <si>
    <t>Darlehen</t>
  </si>
  <si>
    <t>Einnahmen (sonsitge)</t>
  </si>
  <si>
    <t>Einnahmen aus Beiträgen</t>
  </si>
  <si>
    <t>Erstattete Beiträge</t>
  </si>
  <si>
    <t>Personalkosten</t>
  </si>
  <si>
    <t>Rechtskosten</t>
  </si>
  <si>
    <t>Abschluss</t>
  </si>
  <si>
    <t>Ist 02/10/23</t>
  </si>
  <si>
    <t>SoSe24</t>
  </si>
  <si>
    <t>WiSe24/25</t>
  </si>
  <si>
    <t>SoSe25</t>
  </si>
  <si>
    <t>Potentiell geringer Ausgaben durch weniger Anträge</t>
  </si>
  <si>
    <t>Zielwert: Beitrag*20.000 = 112.000€</t>
  </si>
  <si>
    <t>stetige Lohnsteigerungen</t>
  </si>
  <si>
    <t>stetige Preissteigerungen</t>
  </si>
  <si>
    <t>§ 8 Alle Titel der Kategorie 5|1|00|00 sind einseitig deckungsfähig zugunsten aller Titel der Kategorie 5|5|00|00.</t>
  </si>
  <si>
    <t>Zu § 8: AStA zur allen Kontierungen der Kategorie Fachschaftsräte.</t>
  </si>
  <si>
    <t>Ist 03/25</t>
  </si>
  <si>
    <t>Ist 09/24</t>
  </si>
  <si>
    <t>NHH 24/25</t>
  </si>
  <si>
    <t>Gestiegene Betriebskosten</t>
  </si>
  <si>
    <t>Künstlersozialkasse - gestiegene Kosten</t>
  </si>
  <si>
    <t>Beratung in andere Beratung eingegliedert</t>
  </si>
  <si>
    <t>Anpassung an aktuelle Kalkulation</t>
  </si>
  <si>
    <t>Ist 09/19</t>
  </si>
  <si>
    <t>Ist 09/20</t>
  </si>
  <si>
    <t>Ist 06/20</t>
  </si>
  <si>
    <t>Erhöhung anhand von ermitteltem Bedarf</t>
  </si>
  <si>
    <t>Zeitschrift; Koop New Critique; Anpassung anhand aktueller Kalkulation</t>
  </si>
  <si>
    <t>Anschaffung eines 3,5t Pritschenwagens angestrebt</t>
  </si>
  <si>
    <t>§ 1 Die Haushaltsperiode beginnt am 1. Oktober 2024 und endet am 30. September 2025.</t>
  </si>
  <si>
    <r>
      <t xml:space="preserve">Zweckgebundene Einnahmen für Festivalausrichtung (519702) nach §9 der Wirtschaftsordnung. </t>
    </r>
    <r>
      <rPr>
        <sz val="10"/>
        <color rgb="FFFF0000"/>
        <rFont val="Arial2"/>
      </rPr>
      <t>NHH: Anpassung an aktuelle Kalkulation, ohne veranschlagte Einnahmen</t>
    </r>
  </si>
  <si>
    <t>AStA-Fahrzeug</t>
  </si>
  <si>
    <t>Neueinstellung Arbeitsrechtsanwält:in + Neuanstellung Minijob Personalfragen + Fachkraft für Arbeitssicherheit</t>
  </si>
  <si>
    <t>HH 25/26</t>
  </si>
  <si>
    <t>Deckblatt für den Entwurf des Haushalts 2025/2026</t>
  </si>
  <si>
    <t>Erläuterungen zum Haushalt 2025/2026</t>
  </si>
  <si>
    <t>2 Projektkräfte + 1 neue Projektkraft</t>
  </si>
  <si>
    <t>Vertrag in Klärung (ab JA 22/23)</t>
  </si>
  <si>
    <t>Mitgliedschaft sonstige</t>
  </si>
  <si>
    <t>pauschal</t>
  </si>
  <si>
    <t>Veranstaltungs- und Kulturverein</t>
  </si>
  <si>
    <t>2,5 Projektkräfte</t>
  </si>
  <si>
    <t xml:space="preserve">1 Projektkraft;  15€/h </t>
  </si>
  <si>
    <t>1 Projektkraft;  15€/h ;</t>
  </si>
  <si>
    <t>Mitgliedschaft Mietshäusersyndikat</t>
  </si>
  <si>
    <t>keine erwarteten Stiftungszuschüsse (Ringvorlesung beantragt, aber Zusage ausstehend9)</t>
  </si>
  <si>
    <t>andere Ausschüsse</t>
  </si>
  <si>
    <t>15000 Euro Förderung Stadt HH fallen weg</t>
  </si>
  <si>
    <t>Anpassung an gestiegene Kosten</t>
  </si>
  <si>
    <t>Server (Anschaffung bis 30. September 2025 geplant, bei Leistungsdatum zu späterem Zeitpunkt muss Posten im  Haushalt 25/26 vorgesehen werden)</t>
  </si>
  <si>
    <t>gestiegene Kosten</t>
  </si>
  <si>
    <t>WiSe 2024/2025 = 18,60€  á 38.873 Studierende; SoSe = 18,60€  á 41.948 Studierende</t>
  </si>
  <si>
    <t>SoSe = 11,63 €  á 701 Studierende; WiSe = 11,63 €  á 794 Studierende</t>
  </si>
  <si>
    <t>SoSe = 16,10€  á 523 Studierende; WiSe = 16,10€  á 587 Studierende</t>
  </si>
  <si>
    <t>3,5 Projektkräfte;  15€/h</t>
  </si>
  <si>
    <t xml:space="preserve">6 Projektkräfte;  15€/h </t>
  </si>
  <si>
    <t xml:space="preserve">3 Projektkräfte;  15€/h </t>
  </si>
  <si>
    <t>2 Projektkräfte; 15€/h</t>
  </si>
  <si>
    <t xml:space="preserve">Reduktion </t>
  </si>
  <si>
    <t>neue Mitgliedschaft zur Umsetzung von Projekten gegen studentische Wohnungsnot (einmalige Kosten)</t>
  </si>
  <si>
    <t>Beschlussempf-ehlung HA HH 25/26</t>
  </si>
  <si>
    <t>Campusdemokratie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</si>
</sst>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4" formatCode="_-* #,##0.00\ &quot;€&quot;_-;\-* #,##0.00\ &quot;€&quot;_-;_-* &quot;-&quot;??\ &quot;€&quot;_-;_-@_-"/>
    <numFmt numFmtId="164" formatCode="#,##0.00&quot; € &quot;;\-#,##0.00&quot; € &quot;;&quot; -&quot;#&quot; € &quot;;@\ "/>
    <numFmt numFmtId="165" formatCode="#,##0.00\ [$€-407]\ ;\-#,##0.00\ [$€-407]\ ;&quot; -&quot;00\ [$€-407]\ ;@\ "/>
    <numFmt numFmtId="166" formatCode="_-* #,##0.00&quot; €&quot;_-;\-* #,##0.00&quot; €&quot;_-;_-* \-??&quot; €&quot;_-;_-@_-"/>
    <numFmt numFmtId="167" formatCode="[$-407]General"/>
    <numFmt numFmtId="168" formatCode="#,##0.00&quot; €&quot;"/>
    <numFmt numFmtId="169" formatCode="#,##0.00&quot; €&quot;;[Red]\-#,##0.00&quot; €&quot;"/>
    <numFmt numFmtId="170" formatCode="#,##0.00&quot; € &quot;;\-#,##0.00&quot; € &quot;;&quot; -&quot;#&quot; € &quot;;@"/>
    <numFmt numFmtId="171" formatCode="#,##0.00\ [$€-407]"/>
    <numFmt numFmtId="172" formatCode="_-* #,##0.00\ [$€-407]_-;\-* #,##0.00\ [$€-407]_-;_-* \-??\ [$€-407]_-;_-@_-"/>
    <numFmt numFmtId="173" formatCode="#,##0&quot; €&quot;;[Red]\-#,##0&quot; €&quot;"/>
    <numFmt numFmtId="174" formatCode="0.00\ %"/>
    <numFmt numFmtId="175" formatCode="#,##0.00&quot; € &quot;;&quot;-&quot;#,##0.00&quot; € &quot;;&quot; -&quot;#&quot; € &quot;;@&quot; &quot;"/>
    <numFmt numFmtId="176" formatCode="&quot; &quot;#,##0.00&quot; € &quot;;&quot;-&quot;#,##0.00&quot; € &quot;;&quot; &quot;&quot;-&quot;#&quot; € &quot;;&quot; &quot;@&quot; &quot;"/>
    <numFmt numFmtId="177" formatCode="#,##0.00\ &quot;€&quot;"/>
    <numFmt numFmtId="178" formatCode="_-* #,##0\ &quot;€&quot;_-;\-* #,##0\ &quot;€&quot;_-;_-* &quot;-&quot;??\ &quot;€&quot;_-;_-@_-"/>
  </numFmts>
  <fonts count="87">
    <font>
      <sz val="11"/>
      <color rgb="FF000000"/>
      <name val="Arial2"/>
      <charset val="1"/>
    </font>
    <font>
      <sz val="10"/>
      <color rgb="FFFFFFFF"/>
      <name val="Arial1"/>
      <charset val="1"/>
    </font>
    <font>
      <sz val="10"/>
      <color rgb="FFFFFFFF"/>
      <name val="Arial2"/>
      <charset val="1"/>
    </font>
    <font>
      <b/>
      <sz val="10"/>
      <color rgb="FF000000"/>
      <name val="Arial1"/>
      <charset val="1"/>
    </font>
    <font>
      <b/>
      <sz val="10"/>
      <color rgb="FF000000"/>
      <name val="Arial2"/>
      <charset val="1"/>
    </font>
    <font>
      <sz val="10"/>
      <color rgb="FFCC0000"/>
      <name val="Arial2"/>
      <charset val="1"/>
    </font>
    <font>
      <sz val="10"/>
      <color rgb="FFCC0000"/>
      <name val="Arial1"/>
      <charset val="1"/>
    </font>
    <font>
      <sz val="11"/>
      <color rgb="FF9C0006"/>
      <name val="Arial2"/>
      <charset val="1"/>
    </font>
    <font>
      <sz val="11"/>
      <color rgb="FF006100"/>
      <name val="Arial2"/>
      <charset val="1"/>
    </font>
    <font>
      <b/>
      <sz val="10"/>
      <color rgb="FFFFFFFF"/>
      <name val="Arial2"/>
      <charset val="1"/>
    </font>
    <font>
      <b/>
      <sz val="10"/>
      <color rgb="FFFFFFFF"/>
      <name val="Arial1"/>
      <charset val="1"/>
    </font>
    <font>
      <sz val="11"/>
      <color rgb="FF000000"/>
      <name val="Arial"/>
      <family val="2"/>
      <charset val="1"/>
    </font>
    <font>
      <i/>
      <sz val="10"/>
      <color rgb="FF808080"/>
      <name val="Arial1"/>
      <charset val="1"/>
    </font>
    <font>
      <i/>
      <sz val="10"/>
      <color rgb="FF808080"/>
      <name val="Arial2"/>
      <charset val="1"/>
    </font>
    <font>
      <sz val="10"/>
      <color rgb="FF006600"/>
      <name val="Arial1"/>
      <charset val="1"/>
    </font>
    <font>
      <sz val="10"/>
      <color rgb="FF006600"/>
      <name val="Arial2"/>
      <charset val="1"/>
    </font>
    <font>
      <b/>
      <sz val="24"/>
      <color rgb="FF000000"/>
      <name val="Arial1"/>
      <charset val="1"/>
    </font>
    <font>
      <b/>
      <sz val="24"/>
      <color rgb="FF000000"/>
      <name val="Arial2"/>
      <charset val="1"/>
    </font>
    <font>
      <sz val="18"/>
      <color rgb="FF000000"/>
      <name val="Arial1"/>
      <charset val="1"/>
    </font>
    <font>
      <sz val="18"/>
      <color rgb="FF000000"/>
      <name val="Arial2"/>
      <charset val="1"/>
    </font>
    <font>
      <sz val="12"/>
      <color rgb="FF000000"/>
      <name val="Arial1"/>
      <charset val="1"/>
    </font>
    <font>
      <sz val="12"/>
      <color rgb="FF000000"/>
      <name val="Arial2"/>
      <charset val="1"/>
    </font>
    <font>
      <u/>
      <sz val="10"/>
      <color rgb="FF0000EE"/>
      <name val="Arial1"/>
      <charset val="1"/>
    </font>
    <font>
      <u/>
      <sz val="10"/>
      <color rgb="FF0000EE"/>
      <name val="Arial2"/>
      <charset val="1"/>
    </font>
    <font>
      <sz val="10"/>
      <color rgb="FF996600"/>
      <name val="Arial1"/>
      <charset val="1"/>
    </font>
    <font>
      <sz val="10"/>
      <color rgb="FF333333"/>
      <name val="Arial1"/>
      <charset val="1"/>
    </font>
    <font>
      <sz val="10"/>
      <color rgb="FF333333"/>
      <name val="Arial2"/>
      <charset val="1"/>
    </font>
    <font>
      <sz val="11"/>
      <color rgb="FF000000"/>
      <name val="Calibri"/>
      <family val="2"/>
      <charset val="1"/>
    </font>
    <font>
      <sz val="11"/>
      <color rgb="FF000000"/>
      <name val="Arial1"/>
      <charset val="1"/>
    </font>
    <font>
      <b/>
      <sz val="22"/>
      <color rgb="FF000000"/>
      <name val="Arial"/>
      <family val="2"/>
      <charset val="1"/>
    </font>
    <font>
      <sz val="10"/>
      <color rgb="FF000000"/>
      <name val="Arial"/>
      <family val="2"/>
      <charset val="1"/>
    </font>
    <font>
      <sz val="12"/>
      <color rgb="FF000000"/>
      <name val="Arial"/>
      <family val="2"/>
      <charset val="1"/>
    </font>
    <font>
      <b/>
      <sz val="10"/>
      <color rgb="FF000000"/>
      <name val="Arial"/>
      <family val="2"/>
      <charset val="1"/>
    </font>
    <font>
      <i/>
      <sz val="10"/>
      <color rgb="FF000000"/>
      <name val="Arial"/>
      <family val="2"/>
      <charset val="1"/>
    </font>
    <font>
      <b/>
      <i/>
      <sz val="10"/>
      <color rgb="FF000000"/>
      <name val="Arial"/>
      <family val="2"/>
      <charset val="1"/>
    </font>
    <font>
      <b/>
      <sz val="10"/>
      <color rgb="FFFFFFFF"/>
      <name val="Arial"/>
      <family val="2"/>
      <charset val="1"/>
    </font>
    <font>
      <sz val="10"/>
      <color rgb="FFFFFFFF"/>
      <name val="Arial"/>
      <family val="2"/>
      <charset val="1"/>
    </font>
    <font>
      <i/>
      <sz val="10"/>
      <color rgb="FFFFFFFF"/>
      <name val="Arial"/>
      <family val="2"/>
      <charset val="1"/>
    </font>
    <font>
      <sz val="10"/>
      <color rgb="FF000000"/>
      <name val="Arial2"/>
      <charset val="1"/>
    </font>
    <font>
      <sz val="10"/>
      <color rgb="FF996600"/>
      <name val="Arial2"/>
      <charset val="1"/>
    </font>
    <font>
      <b/>
      <sz val="10"/>
      <name val="Arial2"/>
      <charset val="1"/>
    </font>
    <font>
      <sz val="10"/>
      <name val="Arial2"/>
      <charset val="1"/>
    </font>
    <font>
      <i/>
      <sz val="10"/>
      <color rgb="FF000000"/>
      <name val="Arial2"/>
      <charset val="1"/>
    </font>
    <font>
      <b/>
      <sz val="8"/>
      <color rgb="FF000000"/>
      <name val="Arial"/>
      <family val="2"/>
      <charset val="1"/>
    </font>
    <font>
      <b/>
      <sz val="11"/>
      <color rgb="FF000000"/>
      <name val="Arial2"/>
      <charset val="1"/>
    </font>
    <font>
      <i/>
      <sz val="10"/>
      <name val="Arial2"/>
      <charset val="1"/>
    </font>
    <font>
      <b/>
      <sz val="10"/>
      <name val="Arial"/>
      <family val="2"/>
      <charset val="1"/>
    </font>
    <font>
      <b/>
      <i/>
      <sz val="10"/>
      <name val="Arial"/>
      <family val="2"/>
      <charset val="1"/>
    </font>
    <font>
      <sz val="11"/>
      <color rgb="FF9C0006"/>
      <name val="Calibri"/>
      <family val="2"/>
      <charset val="1"/>
    </font>
    <font>
      <b/>
      <sz val="11"/>
      <name val="Calibri"/>
      <family val="2"/>
      <charset val="1"/>
    </font>
    <font>
      <sz val="11"/>
      <name val="Arial2"/>
      <charset val="1"/>
    </font>
    <font>
      <sz val="11"/>
      <name val="Calibri"/>
      <family val="2"/>
      <charset val="1"/>
    </font>
    <font>
      <b/>
      <i/>
      <sz val="10"/>
      <color rgb="FFFFFFFF"/>
      <name val="Arial"/>
      <family val="2"/>
      <charset val="1"/>
    </font>
    <font>
      <i/>
      <sz val="10"/>
      <color rgb="FFFFFFFF"/>
      <name val="Arial2"/>
      <charset val="1"/>
    </font>
    <font>
      <i/>
      <sz val="10"/>
      <color rgb="FFFF0000"/>
      <name val="Arial"/>
      <family val="2"/>
      <charset val="1"/>
    </font>
    <font>
      <b/>
      <strike/>
      <sz val="10"/>
      <color rgb="FF000000"/>
      <name val="Arial"/>
      <family val="2"/>
      <charset val="1"/>
    </font>
    <font>
      <sz val="9"/>
      <color rgb="FF000000"/>
      <name val="Arial2"/>
      <family val="2"/>
      <charset val="1"/>
    </font>
    <font>
      <sz val="11"/>
      <color rgb="FF000000"/>
      <name val="Arial2"/>
      <charset val="1"/>
    </font>
    <font>
      <sz val="8"/>
      <name val="Arial2"/>
      <charset val="1"/>
    </font>
    <font>
      <b/>
      <sz val="10"/>
      <color rgb="FF000000"/>
      <name val="Arial"/>
      <family val="2"/>
    </font>
    <font>
      <sz val="11"/>
      <color rgb="FF000000"/>
      <name val="Arial1"/>
    </font>
    <font>
      <b/>
      <sz val="10"/>
      <color rgb="FF000000"/>
      <name val="Arial1"/>
    </font>
    <font>
      <sz val="10"/>
      <color rgb="FFFFFFFF"/>
      <name val="Arial1"/>
    </font>
    <font>
      <sz val="10"/>
      <color rgb="FFCC0000"/>
      <name val="Arial1"/>
    </font>
    <font>
      <sz val="11"/>
      <color rgb="FF9C0006"/>
      <name val="Arial1"/>
    </font>
    <font>
      <b/>
      <sz val="10"/>
      <color rgb="FFFFFFFF"/>
      <name val="Arial1"/>
    </font>
    <font>
      <sz val="11"/>
      <color rgb="FF000000"/>
      <name val="Arial"/>
      <family val="2"/>
    </font>
    <font>
      <sz val="11"/>
      <color rgb="FF9C0006"/>
      <name val="Calibri"/>
      <family val="2"/>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sz val="11"/>
      <color rgb="FF000000"/>
      <name val="Calibri"/>
      <family val="2"/>
    </font>
    <font>
      <sz val="10"/>
      <color rgb="FF000000"/>
      <name val="Arial"/>
      <family val="2"/>
    </font>
    <font>
      <sz val="10"/>
      <name val="Arial"/>
      <family val="2"/>
      <charset val="1"/>
    </font>
    <font>
      <i/>
      <sz val="10"/>
      <name val="Arial2"/>
    </font>
    <font>
      <sz val="10"/>
      <color rgb="FF000000"/>
      <name val="Calibri"/>
      <family val="2"/>
      <charset val="1"/>
    </font>
    <font>
      <sz val="10"/>
      <name val="Arial"/>
      <family val="2"/>
    </font>
    <font>
      <b/>
      <sz val="10"/>
      <color rgb="FF000000"/>
      <name val="Arial2"/>
    </font>
    <font>
      <i/>
      <sz val="10"/>
      <color rgb="FF000000"/>
      <name val="Arial"/>
      <family val="2"/>
    </font>
    <font>
      <sz val="10"/>
      <color theme="1"/>
      <name val="Arial2"/>
    </font>
    <font>
      <sz val="10"/>
      <name val="Arial2"/>
    </font>
    <font>
      <sz val="10"/>
      <color rgb="FFFF0000"/>
      <name val="Arial2"/>
    </font>
  </fonts>
  <fills count="50">
    <fill>
      <patternFill patternType="none"/>
    </fill>
    <fill>
      <patternFill patternType="gray125"/>
    </fill>
    <fill>
      <patternFill patternType="solid">
        <fgColor rgb="FF000000"/>
        <bgColor rgb="FF000080"/>
      </patternFill>
    </fill>
    <fill>
      <patternFill patternType="solid">
        <fgColor rgb="FF808080"/>
        <bgColor rgb="FF366092"/>
      </patternFill>
    </fill>
    <fill>
      <patternFill patternType="solid">
        <fgColor rgb="FFDDDDDD"/>
        <bgColor rgb="FFD9D9D9"/>
      </patternFill>
    </fill>
    <fill>
      <patternFill patternType="solid">
        <fgColor rgb="FFFFCCCC"/>
        <bgColor rgb="FFFFC7CE"/>
      </patternFill>
    </fill>
    <fill>
      <patternFill patternType="solid">
        <fgColor rgb="FFFFFFFF"/>
        <bgColor rgb="FFFFFFCC"/>
      </patternFill>
    </fill>
    <fill>
      <patternFill patternType="solid">
        <fgColor rgb="FFFFC7CE"/>
        <bgColor rgb="FFFFCCCC"/>
      </patternFill>
    </fill>
    <fill>
      <patternFill patternType="solid">
        <fgColor rgb="FFC6EFCE"/>
        <bgColor rgb="FFCCFFCC"/>
      </patternFill>
    </fill>
    <fill>
      <patternFill patternType="solid">
        <fgColor rgb="FFCC0000"/>
        <bgColor rgb="FF9C0006"/>
      </patternFill>
    </fill>
    <fill>
      <patternFill patternType="solid">
        <fgColor rgb="FFCCFFCC"/>
        <bgColor rgb="FFC6EFCE"/>
      </patternFill>
    </fill>
    <fill>
      <patternFill patternType="solid">
        <fgColor rgb="FFFFFFCC"/>
        <bgColor rgb="FFFFFFFF"/>
      </patternFill>
    </fill>
    <fill>
      <patternFill patternType="solid">
        <fgColor rgb="FF00B050"/>
        <bgColor rgb="FF008080"/>
      </patternFill>
    </fill>
    <fill>
      <patternFill patternType="solid">
        <fgColor rgb="FF92D050"/>
        <bgColor rgb="FF81D41A"/>
      </patternFill>
    </fill>
    <fill>
      <patternFill patternType="solid">
        <fgColor rgb="FF953734"/>
        <bgColor rgb="FF993366"/>
      </patternFill>
    </fill>
    <fill>
      <patternFill patternType="solid">
        <fgColor rgb="FFFFC000"/>
        <bgColor rgb="FFFFBF00"/>
      </patternFill>
    </fill>
    <fill>
      <patternFill patternType="solid">
        <fgColor rgb="FF95B3D7"/>
        <bgColor rgb="FF9999FF"/>
      </patternFill>
    </fill>
    <fill>
      <patternFill patternType="solid">
        <fgColor rgb="FF366092"/>
        <bgColor rgb="FF333399"/>
      </patternFill>
    </fill>
    <fill>
      <patternFill patternType="solid">
        <fgColor rgb="FFD9D9D9"/>
        <bgColor rgb="FFDDDDDD"/>
      </patternFill>
    </fill>
    <fill>
      <patternFill patternType="solid">
        <fgColor rgb="FFD99594"/>
        <bgColor rgb="FFD99694"/>
      </patternFill>
    </fill>
    <fill>
      <patternFill patternType="solid">
        <fgColor rgb="FFD99694"/>
        <bgColor rgb="FFD99594"/>
      </patternFill>
    </fill>
    <fill>
      <patternFill patternType="solid">
        <fgColor rgb="FFFFC000"/>
        <bgColor indexed="64"/>
      </patternFill>
    </fill>
    <fill>
      <patternFill patternType="solid">
        <fgColor rgb="FF92D050"/>
        <bgColor rgb="FFFFFF00"/>
      </patternFill>
    </fill>
    <fill>
      <patternFill patternType="solid">
        <fgColor rgb="FF92D05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
      <patternFill patternType="solid">
        <fgColor rgb="FFFFFF00"/>
        <bgColor rgb="FFFFFFCC"/>
      </patternFill>
    </fill>
    <fill>
      <patternFill patternType="solid">
        <fgColor theme="0"/>
        <bgColor indexed="64"/>
      </patternFill>
    </fill>
    <fill>
      <patternFill patternType="solid">
        <fgColor theme="0"/>
        <bgColor rgb="FFFFFF00"/>
      </patternFill>
    </fill>
    <fill>
      <patternFill patternType="solid">
        <fgColor theme="0"/>
        <bgColor rgb="FFFFBF00"/>
      </patternFill>
    </fill>
    <fill>
      <patternFill patternType="solid">
        <fgColor theme="0"/>
        <bgColor rgb="FF81D41A"/>
      </patternFill>
    </fill>
    <fill>
      <patternFill patternType="solid">
        <fgColor theme="8" tint="0.59999389629810485"/>
        <bgColor rgb="FF9999FF"/>
      </patternFill>
    </fill>
    <fill>
      <patternFill patternType="solid">
        <fgColor theme="8" tint="0.59999389629810485"/>
        <bgColor indexed="64"/>
      </patternFill>
    </fill>
    <fill>
      <patternFill patternType="solid">
        <fgColor theme="8" tint="0.79998168889431442"/>
        <bgColor rgb="FF9999FF"/>
      </patternFill>
    </fill>
    <fill>
      <patternFill patternType="solid">
        <fgColor theme="8" tint="0.79998168889431442"/>
        <bgColor rgb="FF333399"/>
      </patternFill>
    </fill>
    <fill>
      <patternFill patternType="solid">
        <fgColor rgb="FFFFFF00"/>
        <bgColor rgb="FFFFFF00"/>
      </patternFill>
    </fill>
    <fill>
      <patternFill patternType="solid">
        <fgColor rgb="FFFFFF00"/>
        <bgColor rgb="FFFFBF00"/>
      </patternFill>
    </fill>
    <fill>
      <patternFill patternType="solid">
        <fgColor theme="0"/>
        <bgColor rgb="FFFFFFCC"/>
      </patternFill>
    </fill>
    <fill>
      <patternFill patternType="solid">
        <fgColor theme="9" tint="-0.249977111117893"/>
        <bgColor indexed="64"/>
      </patternFill>
    </fill>
    <fill>
      <patternFill patternType="solid">
        <fgColor theme="5" tint="-0.249977111117893"/>
        <bgColor indexed="64"/>
      </patternFill>
    </fill>
    <fill>
      <patternFill patternType="solid">
        <fgColor theme="9" tint="-0.249977111117893"/>
        <bgColor rgb="FFFFFF00"/>
      </patternFill>
    </fill>
    <fill>
      <patternFill patternType="solid">
        <fgColor theme="5" tint="-0.249977111117893"/>
        <bgColor rgb="FFFFBF00"/>
      </patternFill>
    </fill>
    <fill>
      <patternFill patternType="solid">
        <fgColor theme="9" tint="-0.249977111117893"/>
        <bgColor rgb="FFFFBF00"/>
      </patternFill>
    </fill>
  </fills>
  <borders count="44">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EEECE1"/>
      </right>
      <top/>
      <bottom style="thin">
        <color rgb="FFEEECE1"/>
      </bottom>
      <diagonal/>
    </border>
    <border>
      <left style="thin">
        <color rgb="FFEEECE1"/>
      </left>
      <right style="thin">
        <color auto="1"/>
      </right>
      <top style="thin">
        <color rgb="FFEEECE1"/>
      </top>
      <bottom style="thin">
        <color rgb="FFEEECE1"/>
      </bottom>
      <diagonal/>
    </border>
    <border>
      <left style="thin">
        <color auto="1"/>
      </left>
      <right style="thin">
        <color auto="1"/>
      </right>
      <top style="thin">
        <color rgb="FFEEECE1"/>
      </top>
      <bottom style="thin">
        <color rgb="FFEEECE1"/>
      </bottom>
      <diagonal/>
    </border>
    <border>
      <left style="thin">
        <color auto="1"/>
      </left>
      <right style="thin">
        <color auto="1"/>
      </right>
      <top style="thin">
        <color rgb="FFEEECE1"/>
      </top>
      <bottom/>
      <diagonal/>
    </border>
    <border>
      <left style="thin">
        <color auto="1"/>
      </left>
      <right style="thin">
        <color auto="1"/>
      </right>
      <top/>
      <bottom style="thin">
        <color rgb="FFEEECE1"/>
      </bottom>
      <diagonal/>
    </border>
    <border>
      <left style="thin">
        <color auto="1"/>
      </left>
      <right/>
      <top/>
      <bottom style="thin">
        <color rgb="FFEEECE1"/>
      </bottom>
      <diagonal/>
    </border>
    <border>
      <left style="thin">
        <color rgb="FFEEECE1"/>
      </left>
      <right/>
      <top style="thin">
        <color rgb="FFEEECE1"/>
      </top>
      <bottom style="thin">
        <color rgb="FFEEECE1"/>
      </bottom>
      <diagonal/>
    </border>
    <border>
      <left/>
      <right/>
      <top style="thin">
        <color rgb="FFEEECE1"/>
      </top>
      <bottom style="thin">
        <color rgb="FFEEECE1"/>
      </bottom>
      <diagonal/>
    </border>
    <border>
      <left/>
      <right style="thin">
        <color rgb="FFEEECE1"/>
      </right>
      <top style="thin">
        <color rgb="FFEEECE1"/>
      </top>
      <bottom style="thin">
        <color rgb="FFEEECE1"/>
      </bottom>
      <diagonal/>
    </border>
    <border>
      <left style="thin">
        <color auto="1"/>
      </left>
      <right/>
      <top style="thin">
        <color rgb="FFEEECE1"/>
      </top>
      <bottom style="thin">
        <color rgb="FFEEECE1"/>
      </bottom>
      <diagonal/>
    </border>
    <border>
      <left style="thin">
        <color rgb="FFEEECE1"/>
      </left>
      <right/>
      <top/>
      <bottom style="thin">
        <color auto="1"/>
      </bottom>
      <diagonal/>
    </border>
    <border>
      <left/>
      <right style="thin">
        <color rgb="FFEEECE1"/>
      </right>
      <top/>
      <bottom style="thin">
        <color auto="1"/>
      </bottom>
      <diagonal/>
    </border>
    <border>
      <left style="thin">
        <color rgb="FFEEECE1"/>
      </left>
      <right style="thin">
        <color auto="1"/>
      </right>
      <top/>
      <bottom style="thin">
        <color auto="1"/>
      </bottom>
      <diagonal/>
    </border>
    <border>
      <left style="thin">
        <color rgb="FFEEECE1"/>
      </left>
      <right/>
      <top/>
      <bottom/>
      <diagonal/>
    </border>
    <border>
      <left/>
      <right style="thin">
        <color rgb="FFEEECE1"/>
      </right>
      <top/>
      <bottom/>
      <diagonal/>
    </border>
    <border>
      <left style="thin">
        <color rgb="FFEEECE1"/>
      </left>
      <right style="thin">
        <color auto="1"/>
      </right>
      <top/>
      <bottom style="thin">
        <color rgb="FFEEECE1"/>
      </bottom>
      <diagonal/>
    </border>
    <border>
      <left style="thin">
        <color rgb="FFEEECE1"/>
      </left>
      <right style="thin">
        <color auto="1"/>
      </right>
      <top style="thin">
        <color rgb="FFEEECE1"/>
      </top>
      <bottom style="thin">
        <color auto="1"/>
      </bottom>
      <diagonal/>
    </border>
    <border>
      <left style="thin">
        <color auto="1"/>
      </left>
      <right style="thin">
        <color auto="1"/>
      </right>
      <top style="thin">
        <color rgb="FFEEECE1"/>
      </top>
      <bottom style="thin">
        <color auto="1"/>
      </bottom>
      <diagonal/>
    </border>
    <border>
      <left style="thin">
        <color auto="1"/>
      </left>
      <right/>
      <top style="thin">
        <color rgb="FFEEECE1"/>
      </top>
      <bottom style="thin">
        <color auto="1"/>
      </bottom>
      <diagonal/>
    </border>
    <border>
      <left style="thin">
        <color rgb="FFEEECE1"/>
      </left>
      <right style="thin">
        <color auto="1"/>
      </right>
      <top style="thin">
        <color rgb="FFEEECE1"/>
      </top>
      <bottom/>
      <diagonal/>
    </border>
    <border>
      <left style="thin">
        <color auto="1"/>
      </left>
      <right/>
      <top style="thin">
        <color rgb="FFEEECE1"/>
      </top>
      <bottom/>
      <diagonal/>
    </border>
    <border>
      <left style="thin">
        <color auto="1"/>
      </left>
      <right style="thin">
        <color auto="1"/>
      </right>
      <top style="thin">
        <color auto="1"/>
      </top>
      <bottom style="thin">
        <color rgb="FFEEECE1"/>
      </bottom>
      <diagonal/>
    </border>
    <border>
      <left style="thin">
        <color auto="1"/>
      </left>
      <right/>
      <top style="thin">
        <color auto="1"/>
      </top>
      <bottom/>
      <diagonal/>
    </border>
    <border>
      <left/>
      <right/>
      <top style="thin">
        <color auto="1"/>
      </top>
      <bottom/>
      <diagonal/>
    </border>
    <border>
      <left/>
      <right style="thin">
        <color rgb="FFEEECE1"/>
      </right>
      <top style="thin">
        <color auto="1"/>
      </top>
      <bottom/>
      <diagonal/>
    </border>
    <border>
      <left style="thin">
        <color rgb="FFEEECE1"/>
      </left>
      <right style="thin">
        <color auto="1"/>
      </right>
      <top style="thin">
        <color auto="1"/>
      </top>
      <bottom style="thin">
        <color rgb="FFEEECE1"/>
      </bottom>
      <diagonal/>
    </border>
    <border>
      <left style="thin">
        <color rgb="FFEEECE1"/>
      </left>
      <right style="thin">
        <color auto="1"/>
      </right>
      <top/>
      <bottom/>
      <diagonal/>
    </border>
    <border>
      <left style="thin">
        <color rgb="FFEEECE1"/>
      </left>
      <right/>
      <top/>
      <bottom style="thin">
        <color rgb="FFEEECE1"/>
      </bottom>
      <diagonal/>
    </border>
    <border>
      <left/>
      <right/>
      <top/>
      <bottom style="thin">
        <color rgb="FFEEECE1"/>
      </bottom>
      <diagonal/>
    </border>
    <border>
      <left/>
      <right/>
      <top style="thin">
        <color rgb="FFEEECE1"/>
      </top>
      <bottom/>
      <diagonal/>
    </border>
    <border>
      <left/>
      <right style="thin">
        <color auto="1"/>
      </right>
      <top style="thin">
        <color rgb="FFEEECE1"/>
      </top>
      <bottom/>
      <diagonal/>
    </border>
    <border>
      <left style="thin">
        <color auto="1"/>
      </left>
      <right/>
      <top style="thin">
        <color auto="1"/>
      </top>
      <bottom style="thin">
        <color auto="1"/>
      </bottom>
      <diagonal/>
    </border>
    <border>
      <left style="thin">
        <color auto="1"/>
      </left>
      <right/>
      <top style="thin">
        <color auto="1"/>
      </top>
      <bottom style="thin">
        <color rgb="FFEEECE1"/>
      </bottom>
      <diagonal/>
    </border>
  </borders>
  <cellStyleXfs count="93">
    <xf numFmtId="0" fontId="0" fillId="0" borderId="0"/>
    <xf numFmtId="164" fontId="57" fillId="0" borderId="0" applyBorder="0" applyProtection="0"/>
    <xf numFmtId="0" fontId="1" fillId="2" borderId="0"/>
    <xf numFmtId="0" fontId="1" fillId="2" borderId="0" applyBorder="0" applyProtection="0"/>
    <xf numFmtId="0" fontId="2" fillId="2" borderId="0" applyBorder="0" applyProtection="0"/>
    <xf numFmtId="0" fontId="1" fillId="3" borderId="0"/>
    <xf numFmtId="0" fontId="1" fillId="3" borderId="0" applyBorder="0" applyProtection="0"/>
    <xf numFmtId="0" fontId="2" fillId="3" borderId="0" applyBorder="0" applyProtection="0"/>
    <xf numFmtId="0" fontId="3" fillId="4" borderId="0"/>
    <xf numFmtId="0" fontId="3" fillId="4" borderId="0" applyBorder="0" applyProtection="0"/>
    <xf numFmtId="0" fontId="4" fillId="4" borderId="0" applyBorder="0" applyProtection="0"/>
    <xf numFmtId="0" fontId="3" fillId="0" borderId="0" applyBorder="0" applyProtection="0"/>
    <xf numFmtId="0" fontId="3" fillId="0" borderId="0"/>
    <xf numFmtId="0" fontId="4" fillId="0" borderId="0" applyBorder="0" applyProtection="0"/>
    <xf numFmtId="0" fontId="5" fillId="5" borderId="0" applyBorder="0" applyProtection="0"/>
    <xf numFmtId="0" fontId="6" fillId="5" borderId="0"/>
    <xf numFmtId="0" fontId="6" fillId="5" borderId="0" applyBorder="0" applyProtection="0"/>
    <xf numFmtId="0" fontId="57" fillId="6" borderId="0" applyBorder="0" applyProtection="0"/>
    <xf numFmtId="0" fontId="7" fillId="7" borderId="0" applyBorder="0" applyProtection="0"/>
    <xf numFmtId="0" fontId="8" fillId="8" borderId="0" applyBorder="0" applyProtection="0"/>
    <xf numFmtId="0" fontId="57" fillId="6" borderId="0" applyBorder="0" applyProtection="0"/>
    <xf numFmtId="0" fontId="7" fillId="7" borderId="0" applyBorder="0" applyProtection="0"/>
    <xf numFmtId="0" fontId="8" fillId="8" borderId="0" applyBorder="0" applyProtection="0"/>
    <xf numFmtId="0" fontId="9" fillId="9" borderId="0" applyBorder="0" applyProtection="0"/>
    <xf numFmtId="0" fontId="10" fillId="9" borderId="0"/>
    <xf numFmtId="0" fontId="10" fillId="9" borderId="0" applyBorder="0" applyProtection="0"/>
    <xf numFmtId="164" fontId="11" fillId="0" borderId="0" applyBorder="0" applyProtection="0"/>
    <xf numFmtId="164" fontId="11" fillId="0" borderId="0"/>
    <xf numFmtId="0" fontId="12" fillId="0" borderId="0" applyBorder="0" applyProtection="0"/>
    <xf numFmtId="0" fontId="13" fillId="0" borderId="0" applyBorder="0" applyProtection="0"/>
    <xf numFmtId="0" fontId="12" fillId="0" borderId="0"/>
    <xf numFmtId="0" fontId="14" fillId="10" borderId="0" applyBorder="0" applyProtection="0"/>
    <xf numFmtId="0" fontId="15" fillId="10" borderId="0" applyBorder="0" applyProtection="0"/>
    <xf numFmtId="0" fontId="14" fillId="10" borderId="0"/>
    <xf numFmtId="0" fontId="16" fillId="0" borderId="0" applyBorder="0" applyProtection="0"/>
    <xf numFmtId="0" fontId="17" fillId="0" borderId="0" applyBorder="0" applyProtection="0"/>
    <xf numFmtId="0" fontId="16" fillId="0" borderId="0"/>
    <xf numFmtId="0" fontId="18" fillId="0" borderId="0" applyBorder="0" applyProtection="0"/>
    <xf numFmtId="0" fontId="19" fillId="0" borderId="0" applyBorder="0" applyProtection="0"/>
    <xf numFmtId="0" fontId="18" fillId="0" borderId="0"/>
    <xf numFmtId="0" fontId="20" fillId="0" borderId="0" applyBorder="0" applyProtection="0"/>
    <xf numFmtId="0" fontId="21" fillId="0" borderId="0" applyBorder="0" applyProtection="0"/>
    <xf numFmtId="0" fontId="20" fillId="0" borderId="0"/>
    <xf numFmtId="0" fontId="22" fillId="0" borderId="0" applyBorder="0" applyProtection="0"/>
    <xf numFmtId="0" fontId="23" fillId="0" borderId="0" applyBorder="0" applyProtection="0"/>
    <xf numFmtId="0" fontId="22" fillId="0" borderId="0"/>
    <xf numFmtId="0" fontId="24" fillId="11" borderId="0" applyBorder="0" applyProtection="0"/>
    <xf numFmtId="0" fontId="24" fillId="11" borderId="0"/>
    <xf numFmtId="0" fontId="25" fillId="11" borderId="1" applyProtection="0"/>
    <xf numFmtId="0" fontId="26" fillId="11" borderId="1" applyProtection="0"/>
    <xf numFmtId="0" fontId="25" fillId="11" borderId="1"/>
    <xf numFmtId="0" fontId="27" fillId="0" borderId="0" applyBorder="0" applyProtection="0"/>
    <xf numFmtId="0" fontId="27" fillId="0" borderId="0"/>
    <xf numFmtId="0" fontId="28" fillId="0" borderId="0" applyBorder="0" applyProtection="0"/>
    <xf numFmtId="0" fontId="28" fillId="0" borderId="0"/>
    <xf numFmtId="0" fontId="28" fillId="0" borderId="0" applyBorder="0" applyProtection="0"/>
    <xf numFmtId="0" fontId="28" fillId="0" borderId="0"/>
    <xf numFmtId="0" fontId="57" fillId="0" borderId="0" applyBorder="0" applyProtection="0"/>
    <xf numFmtId="0" fontId="28" fillId="0" borderId="0" applyBorder="0" applyProtection="0"/>
    <xf numFmtId="0" fontId="28" fillId="0" borderId="0"/>
    <xf numFmtId="0" fontId="57" fillId="0" borderId="0" applyBorder="0" applyProtection="0"/>
    <xf numFmtId="0" fontId="6" fillId="0" borderId="0"/>
    <xf numFmtId="0" fontId="6" fillId="0" borderId="0" applyBorder="0" applyProtection="0"/>
    <xf numFmtId="0" fontId="5" fillId="0" borderId="0" applyBorder="0" applyProtection="0"/>
    <xf numFmtId="164" fontId="57" fillId="0" borderId="0" applyBorder="0" applyProtection="0"/>
    <xf numFmtId="165" fontId="57" fillId="0" borderId="0" applyBorder="0" applyProtection="0"/>
    <xf numFmtId="166" fontId="57" fillId="0" borderId="0" applyBorder="0" applyProtection="0"/>
    <xf numFmtId="0" fontId="39" fillId="11" borderId="0" applyBorder="0" applyProtection="0"/>
    <xf numFmtId="0" fontId="48" fillId="7" borderId="0" applyBorder="0" applyProtection="0"/>
    <xf numFmtId="0" fontId="60" fillId="0" borderId="0"/>
    <xf numFmtId="0" fontId="74" fillId="31" borderId="0"/>
    <xf numFmtId="0" fontId="61" fillId="0" borderId="0"/>
    <xf numFmtId="0" fontId="62" fillId="24" borderId="0"/>
    <xf numFmtId="0" fontId="62" fillId="25" borderId="0"/>
    <xf numFmtId="0" fontId="61" fillId="26" borderId="0"/>
    <xf numFmtId="0" fontId="63" fillId="27" borderId="0"/>
    <xf numFmtId="0" fontId="64" fillId="28" borderId="0"/>
    <xf numFmtId="0" fontId="65" fillId="29" borderId="0"/>
    <xf numFmtId="175" fontId="66" fillId="0" borderId="0"/>
    <xf numFmtId="0" fontId="67" fillId="28" borderId="0"/>
    <xf numFmtId="176" fontId="60" fillId="0" borderId="0"/>
    <xf numFmtId="0" fontId="68" fillId="0" borderId="0"/>
    <xf numFmtId="0" fontId="69" fillId="30" borderId="0"/>
    <xf numFmtId="0" fontId="70" fillId="0" borderId="0"/>
    <xf numFmtId="0" fontId="71" fillId="0" borderId="0"/>
    <xf numFmtId="0" fontId="72" fillId="0" borderId="0"/>
    <xf numFmtId="0" fontId="73" fillId="0" borderId="0"/>
    <xf numFmtId="0" fontId="75" fillId="31" borderId="1"/>
    <xf numFmtId="0" fontId="76" fillId="0" borderId="0"/>
    <xf numFmtId="0" fontId="60" fillId="0" borderId="0"/>
    <xf numFmtId="0" fontId="60" fillId="0" borderId="0"/>
    <xf numFmtId="0" fontId="63" fillId="0" borderId="0"/>
    <xf numFmtId="44" fontId="60" fillId="0" borderId="0" applyFont="0" applyFill="0" applyBorder="0" applyAlignment="0" applyProtection="0"/>
  </cellStyleXfs>
  <cellXfs count="1088">
    <xf numFmtId="0" fontId="0" fillId="0" borderId="0" xfId="0"/>
    <xf numFmtId="0" fontId="29" fillId="0" borderId="0" xfId="0" applyFont="1" applyAlignment="1">
      <alignment horizontal="center"/>
    </xf>
    <xf numFmtId="0" fontId="29" fillId="0" borderId="0" xfId="0" applyFont="1" applyAlignment="1">
      <alignment horizontal="left"/>
    </xf>
    <xf numFmtId="0" fontId="30" fillId="0" borderId="0" xfId="0" applyFont="1"/>
    <xf numFmtId="0" fontId="31" fillId="0" borderId="2" xfId="0" applyFont="1" applyBorder="1" applyAlignment="1">
      <alignment horizontal="left" vertical="top" wrapText="1"/>
    </xf>
    <xf numFmtId="0" fontId="31" fillId="0" borderId="0" xfId="0" applyFont="1" applyAlignment="1">
      <alignment horizontal="left" vertical="top"/>
    </xf>
    <xf numFmtId="0" fontId="31" fillId="0" borderId="0" xfId="0" applyFont="1" applyAlignment="1">
      <alignment vertical="top"/>
    </xf>
    <xf numFmtId="167" fontId="31" fillId="0" borderId="0" xfId="0" applyNumberFormat="1" applyFont="1" applyAlignment="1">
      <alignment horizontal="left" vertical="top" wrapText="1"/>
    </xf>
    <xf numFmtId="0" fontId="31" fillId="0" borderId="0" xfId="0" applyFont="1" applyAlignment="1">
      <alignment wrapText="1"/>
    </xf>
    <xf numFmtId="0" fontId="31" fillId="0" borderId="0" xfId="0" applyFont="1" applyAlignment="1">
      <alignment horizontal="left" vertical="top" wrapText="1"/>
    </xf>
    <xf numFmtId="0" fontId="31" fillId="6" borderId="2" xfId="0" applyFont="1" applyFill="1" applyBorder="1" applyAlignment="1">
      <alignment horizontal="left" vertical="top" wrapText="1"/>
    </xf>
    <xf numFmtId="0" fontId="31" fillId="6" borderId="3" xfId="0" applyFont="1" applyFill="1" applyBorder="1" applyAlignment="1">
      <alignment horizontal="left" vertical="top" wrapText="1"/>
    </xf>
    <xf numFmtId="0" fontId="32" fillId="0" borderId="0" xfId="0" applyFont="1"/>
    <xf numFmtId="0" fontId="32" fillId="12" borderId="5" xfId="0" applyFont="1" applyFill="1" applyBorder="1"/>
    <xf numFmtId="0" fontId="32" fillId="0" borderId="0" xfId="0" applyFont="1" applyAlignment="1">
      <alignment wrapText="1"/>
    </xf>
    <xf numFmtId="49" fontId="32" fillId="0" borderId="0" xfId="0" applyNumberFormat="1" applyFont="1" applyAlignment="1">
      <alignment wrapText="1"/>
    </xf>
    <xf numFmtId="0" fontId="32" fillId="0" borderId="6" xfId="0" applyFont="1" applyBorder="1"/>
    <xf numFmtId="0" fontId="30" fillId="0" borderId="6" xfId="0" applyFont="1" applyBorder="1" applyAlignment="1">
      <alignment horizontal="left" vertical="center" wrapText="1"/>
    </xf>
    <xf numFmtId="0" fontId="30" fillId="0" borderId="5" xfId="0" applyFont="1" applyBorder="1"/>
    <xf numFmtId="0" fontId="30" fillId="0" borderId="6" xfId="0" applyFont="1" applyBorder="1"/>
    <xf numFmtId="0" fontId="0" fillId="0" borderId="5" xfId="0" applyBorder="1"/>
    <xf numFmtId="0" fontId="0" fillId="0" borderId="6" xfId="0" applyBorder="1"/>
    <xf numFmtId="0" fontId="30" fillId="0" borderId="6" xfId="0" applyFont="1" applyBorder="1" applyAlignment="1">
      <alignment vertical="center" wrapText="1"/>
    </xf>
    <xf numFmtId="0" fontId="30" fillId="0" borderId="0" xfId="0" applyFont="1" applyAlignment="1">
      <alignment horizontal="left"/>
    </xf>
    <xf numFmtId="0" fontId="32" fillId="0" borderId="5" xfId="0" applyFont="1" applyBorder="1"/>
    <xf numFmtId="0" fontId="32" fillId="12" borderId="0" xfId="0" applyFont="1" applyFill="1"/>
    <xf numFmtId="0" fontId="30" fillId="0" borderId="7" xfId="0" applyFont="1" applyBorder="1" applyAlignment="1">
      <alignment horizontal="left" vertical="center" wrapText="1"/>
    </xf>
    <xf numFmtId="49" fontId="32" fillId="12" borderId="0" xfId="0" applyNumberFormat="1" applyFont="1" applyFill="1" applyAlignment="1">
      <alignment wrapText="1"/>
    </xf>
    <xf numFmtId="0" fontId="33" fillId="0" borderId="6" xfId="0" applyFont="1" applyBorder="1"/>
    <xf numFmtId="0" fontId="30" fillId="0" borderId="9" xfId="0" applyFont="1" applyBorder="1"/>
    <xf numFmtId="0" fontId="30" fillId="0" borderId="4" xfId="0" applyFont="1" applyBorder="1"/>
    <xf numFmtId="0" fontId="30" fillId="0" borderId="10" xfId="0" applyFont="1" applyBorder="1"/>
    <xf numFmtId="0" fontId="0" fillId="13" borderId="0" xfId="0" applyFill="1"/>
    <xf numFmtId="168" fontId="30" fillId="0" borderId="7" xfId="0" applyNumberFormat="1" applyFont="1" applyBorder="1"/>
    <xf numFmtId="0" fontId="30" fillId="0" borderId="7" xfId="0" applyFont="1" applyBorder="1"/>
    <xf numFmtId="165" fontId="30" fillId="0" borderId="7" xfId="0" applyNumberFormat="1" applyFont="1" applyBorder="1"/>
    <xf numFmtId="166" fontId="30" fillId="0" borderId="7" xfId="0" applyNumberFormat="1" applyFont="1" applyBorder="1"/>
    <xf numFmtId="166" fontId="30" fillId="0" borderId="7" xfId="0" applyNumberFormat="1" applyFont="1" applyBorder="1" applyAlignment="1">
      <alignment horizontal="justify"/>
    </xf>
    <xf numFmtId="166" fontId="30" fillId="0" borderId="5" xfId="0" applyNumberFormat="1" applyFont="1" applyBorder="1" applyAlignment="1">
      <alignment horizontal="justify"/>
    </xf>
    <xf numFmtId="164" fontId="33" fillId="0" borderId="5" xfId="0" applyNumberFormat="1" applyFont="1" applyBorder="1"/>
    <xf numFmtId="165" fontId="32" fillId="0" borderId="14" xfId="0" applyNumberFormat="1" applyFont="1" applyBorder="1" applyAlignment="1">
      <alignment horizontal="center"/>
    </xf>
    <xf numFmtId="168" fontId="32" fillId="6" borderId="13" xfId="0" applyNumberFormat="1" applyFont="1" applyFill="1" applyBorder="1" applyAlignment="1">
      <alignment horizontal="center" vertical="center" wrapText="1"/>
    </xf>
    <xf numFmtId="168" fontId="33" fillId="0" borderId="13" xfId="0" applyNumberFormat="1" applyFont="1" applyBorder="1" applyAlignment="1">
      <alignment horizontal="center" vertical="center" wrapText="1"/>
    </xf>
    <xf numFmtId="0" fontId="32" fillId="6" borderId="13" xfId="0" applyFont="1" applyFill="1" applyBorder="1" applyAlignment="1">
      <alignment horizontal="center" vertical="center" wrapText="1"/>
    </xf>
    <xf numFmtId="164" fontId="33" fillId="0" borderId="13" xfId="0" applyNumberFormat="1" applyFont="1" applyBorder="1" applyAlignment="1">
      <alignment horizontal="center" vertical="center" wrapText="1"/>
    </xf>
    <xf numFmtId="165" fontId="32" fillId="6" borderId="13" xfId="0" applyNumberFormat="1" applyFont="1" applyFill="1" applyBorder="1" applyAlignment="1">
      <alignment horizontal="center" vertical="center" wrapText="1"/>
    </xf>
    <xf numFmtId="165" fontId="33" fillId="0" borderId="14" xfId="0" applyNumberFormat="1" applyFont="1" applyBorder="1" applyAlignment="1">
      <alignment horizontal="center"/>
    </xf>
    <xf numFmtId="165" fontId="33" fillId="6" borderId="13" xfId="0" applyNumberFormat="1" applyFont="1" applyFill="1" applyBorder="1" applyAlignment="1">
      <alignment horizontal="center" vertical="center" wrapText="1"/>
    </xf>
    <xf numFmtId="166" fontId="32" fillId="6" borderId="13" xfId="0" applyNumberFormat="1" applyFont="1" applyFill="1" applyBorder="1" applyAlignment="1">
      <alignment horizontal="center" vertical="center" wrapText="1"/>
    </xf>
    <xf numFmtId="166" fontId="30" fillId="6" borderId="13" xfId="0" applyNumberFormat="1" applyFont="1" applyFill="1" applyBorder="1" applyAlignment="1">
      <alignment horizontal="justify" vertical="center" wrapText="1"/>
    </xf>
    <xf numFmtId="166" fontId="32" fillId="6" borderId="15" xfId="0" applyNumberFormat="1" applyFont="1" applyFill="1" applyBorder="1" applyAlignment="1">
      <alignment horizontal="center" vertical="center" wrapText="1"/>
    </xf>
    <xf numFmtId="0" fontId="35" fillId="14" borderId="17" xfId="0" applyFont="1" applyFill="1" applyBorder="1" applyAlignment="1">
      <alignment wrapText="1"/>
    </xf>
    <xf numFmtId="0" fontId="35" fillId="14" borderId="18" xfId="0" applyFont="1" applyFill="1" applyBorder="1" applyAlignment="1">
      <alignment wrapText="1"/>
    </xf>
    <xf numFmtId="49" fontId="35" fillId="14" borderId="18" xfId="0" applyNumberFormat="1" applyFont="1" applyFill="1" applyBorder="1" applyAlignment="1">
      <alignment wrapText="1"/>
    </xf>
    <xf numFmtId="49" fontId="35" fillId="14" borderId="19" xfId="0" applyNumberFormat="1" applyFont="1" applyFill="1" applyBorder="1" applyAlignment="1">
      <alignment wrapText="1"/>
    </xf>
    <xf numFmtId="0" fontId="35" fillId="14" borderId="12" xfId="0" applyFont="1" applyFill="1" applyBorder="1"/>
    <xf numFmtId="168" fontId="35" fillId="14" borderId="13" xfId="0" applyNumberFormat="1" applyFont="1" applyFill="1" applyBorder="1" applyAlignment="1">
      <alignment wrapText="1"/>
    </xf>
    <xf numFmtId="168" fontId="36" fillId="14" borderId="13" xfId="0" applyNumberFormat="1" applyFont="1" applyFill="1" applyBorder="1" applyAlignment="1">
      <alignment wrapText="1"/>
    </xf>
    <xf numFmtId="0" fontId="35" fillId="14" borderId="13" xfId="0" applyFont="1" applyFill="1" applyBorder="1" applyAlignment="1">
      <alignment wrapText="1"/>
    </xf>
    <xf numFmtId="0" fontId="36" fillId="14" borderId="13" xfId="0" applyFont="1" applyFill="1" applyBorder="1" applyAlignment="1">
      <alignment wrapText="1"/>
    </xf>
    <xf numFmtId="165" fontId="35" fillId="14" borderId="13" xfId="0" applyNumberFormat="1" applyFont="1" applyFill="1" applyBorder="1" applyAlignment="1">
      <alignment wrapText="1"/>
    </xf>
    <xf numFmtId="165" fontId="36" fillId="14" borderId="13" xfId="0" applyNumberFormat="1" applyFont="1" applyFill="1" applyBorder="1" applyAlignment="1">
      <alignment wrapText="1"/>
    </xf>
    <xf numFmtId="166" fontId="35" fillId="14" borderId="13" xfId="0" applyNumberFormat="1" applyFont="1" applyFill="1" applyBorder="1" applyAlignment="1">
      <alignment wrapText="1"/>
    </xf>
    <xf numFmtId="166" fontId="36" fillId="14" borderId="13" xfId="0" applyNumberFormat="1" applyFont="1" applyFill="1" applyBorder="1" applyAlignment="1">
      <alignment horizontal="justify" wrapText="1"/>
    </xf>
    <xf numFmtId="166" fontId="35" fillId="14" borderId="13" xfId="0" applyNumberFormat="1" applyFont="1" applyFill="1" applyBorder="1" applyAlignment="1">
      <alignment horizontal="justify" wrapText="1"/>
    </xf>
    <xf numFmtId="0" fontId="36" fillId="0" borderId="0" xfId="0" applyFont="1"/>
    <xf numFmtId="0" fontId="32" fillId="0" borderId="21" xfId="0" applyFont="1" applyBorder="1" applyAlignment="1">
      <alignment wrapText="1"/>
    </xf>
    <xf numFmtId="0" fontId="32" fillId="0" borderId="4" xfId="0" applyFont="1" applyBorder="1" applyAlignment="1">
      <alignment wrapText="1"/>
    </xf>
    <xf numFmtId="49" fontId="32" fillId="0" borderId="4" xfId="0" applyNumberFormat="1" applyFont="1" applyBorder="1" applyAlignment="1">
      <alignment wrapText="1"/>
    </xf>
    <xf numFmtId="49" fontId="32" fillId="0" borderId="22" xfId="0" applyNumberFormat="1" applyFont="1" applyBorder="1" applyAlignment="1">
      <alignment wrapText="1"/>
    </xf>
    <xf numFmtId="0" fontId="32" fillId="0" borderId="23" xfId="0" applyFont="1" applyBorder="1"/>
    <xf numFmtId="168" fontId="32" fillId="0" borderId="8" xfId="0" applyNumberFormat="1" applyFont="1" applyBorder="1" applyAlignment="1">
      <alignment wrapText="1"/>
    </xf>
    <xf numFmtId="168" fontId="30" fillId="0" borderId="8" xfId="0" applyNumberFormat="1" applyFont="1" applyBorder="1" applyAlignment="1">
      <alignment wrapText="1"/>
    </xf>
    <xf numFmtId="0" fontId="32" fillId="0" borderId="8" xfId="0" applyFont="1" applyBorder="1" applyAlignment="1">
      <alignment wrapText="1"/>
    </xf>
    <xf numFmtId="0" fontId="30" fillId="0" borderId="8" xfId="0" applyFont="1" applyBorder="1" applyAlignment="1">
      <alignment wrapText="1"/>
    </xf>
    <xf numFmtId="165" fontId="32" fillId="0" borderId="8" xfId="0" applyNumberFormat="1" applyFont="1" applyBorder="1" applyAlignment="1">
      <alignment wrapText="1"/>
    </xf>
    <xf numFmtId="165" fontId="30" fillId="0" borderId="8" xfId="0" applyNumberFormat="1" applyFont="1" applyBorder="1" applyAlignment="1">
      <alignment wrapText="1"/>
    </xf>
    <xf numFmtId="166" fontId="32" fillId="0" borderId="8" xfId="0" applyNumberFormat="1" applyFont="1" applyBorder="1" applyAlignment="1">
      <alignment wrapText="1"/>
    </xf>
    <xf numFmtId="166" fontId="30" fillId="0" borderId="8" xfId="0" applyNumberFormat="1" applyFont="1" applyBorder="1" applyAlignment="1">
      <alignment horizontal="justify" wrapText="1"/>
    </xf>
    <xf numFmtId="166" fontId="32" fillId="0" borderId="8" xfId="0" applyNumberFormat="1" applyFont="1" applyBorder="1" applyAlignment="1">
      <alignment horizontal="justify" wrapText="1"/>
    </xf>
    <xf numFmtId="0" fontId="32" fillId="0" borderId="24" xfId="0" applyFont="1" applyBorder="1" applyAlignment="1">
      <alignment wrapText="1"/>
    </xf>
    <xf numFmtId="49" fontId="32" fillId="0" borderId="25" xfId="0" applyNumberFormat="1" applyFont="1" applyBorder="1" applyAlignment="1">
      <alignment wrapText="1"/>
    </xf>
    <xf numFmtId="0" fontId="30" fillId="0" borderId="26" xfId="0" applyFont="1" applyBorder="1"/>
    <xf numFmtId="168" fontId="32" fillId="0" borderId="15" xfId="0" applyNumberFormat="1" applyFont="1" applyBorder="1"/>
    <xf numFmtId="168" fontId="30" fillId="0" borderId="15" xfId="0" applyNumberFormat="1" applyFont="1" applyBorder="1"/>
    <xf numFmtId="169" fontId="32" fillId="0" borderId="15" xfId="0" applyNumberFormat="1" applyFont="1" applyBorder="1"/>
    <xf numFmtId="169" fontId="30" fillId="0" borderId="15" xfId="0" applyNumberFormat="1" applyFont="1" applyBorder="1"/>
    <xf numFmtId="165" fontId="32" fillId="0" borderId="15" xfId="0" applyNumberFormat="1" applyFont="1" applyBorder="1"/>
    <xf numFmtId="165" fontId="30" fillId="0" borderId="15" xfId="0" applyNumberFormat="1" applyFont="1" applyBorder="1"/>
    <xf numFmtId="166" fontId="32" fillId="0" borderId="15" xfId="0" applyNumberFormat="1" applyFont="1" applyBorder="1"/>
    <xf numFmtId="166" fontId="30" fillId="0" borderId="15" xfId="0" applyNumberFormat="1" applyFont="1" applyBorder="1" applyAlignment="1">
      <alignment horizontal="justify"/>
    </xf>
    <xf numFmtId="166" fontId="32" fillId="0" borderId="15" xfId="0" applyNumberFormat="1" applyFont="1" applyBorder="1" applyAlignment="1">
      <alignment horizontal="justify"/>
    </xf>
    <xf numFmtId="166" fontId="38" fillId="0" borderId="15" xfId="0" applyNumberFormat="1" applyFont="1" applyBorder="1" applyAlignment="1">
      <alignment horizontal="justify"/>
    </xf>
    <xf numFmtId="0" fontId="32" fillId="0" borderId="12" xfId="0" applyFont="1" applyBorder="1"/>
    <xf numFmtId="168" fontId="32" fillId="0" borderId="13" xfId="0" applyNumberFormat="1" applyFont="1" applyBorder="1"/>
    <xf numFmtId="168" fontId="30" fillId="0" borderId="13" xfId="0" applyNumberFormat="1" applyFont="1" applyBorder="1"/>
    <xf numFmtId="169" fontId="32" fillId="0" borderId="13" xfId="0" applyNumberFormat="1" applyFont="1" applyBorder="1"/>
    <xf numFmtId="169" fontId="30" fillId="0" borderId="13" xfId="0" applyNumberFormat="1" applyFont="1" applyBorder="1"/>
    <xf numFmtId="169" fontId="32" fillId="6" borderId="13" xfId="0" applyNumberFormat="1" applyFont="1" applyFill="1" applyBorder="1"/>
    <xf numFmtId="165" fontId="32" fillId="0" borderId="13" xfId="0" applyNumberFormat="1" applyFont="1" applyBorder="1"/>
    <xf numFmtId="165" fontId="30" fillId="0" borderId="13" xfId="0" applyNumberFormat="1" applyFont="1" applyBorder="1"/>
    <xf numFmtId="166" fontId="32" fillId="0" borderId="13" xfId="0" applyNumberFormat="1" applyFont="1" applyBorder="1"/>
    <xf numFmtId="166" fontId="30" fillId="0" borderId="13" xfId="0" applyNumberFormat="1" applyFont="1" applyBorder="1" applyAlignment="1">
      <alignment horizontal="justify"/>
    </xf>
    <xf numFmtId="166" fontId="32" fillId="0" borderId="13" xfId="0" applyNumberFormat="1" applyFont="1" applyBorder="1" applyAlignment="1">
      <alignment horizontal="justify"/>
    </xf>
    <xf numFmtId="166" fontId="38" fillId="0" borderId="13" xfId="0" applyNumberFormat="1" applyFont="1" applyBorder="1" applyAlignment="1">
      <alignment horizontal="justify"/>
    </xf>
    <xf numFmtId="164" fontId="33" fillId="0" borderId="13" xfId="0" applyNumberFormat="1" applyFont="1" applyBorder="1" applyAlignment="1">
      <alignment wrapText="1"/>
    </xf>
    <xf numFmtId="165" fontId="30" fillId="0" borderId="0" xfId="0" applyNumberFormat="1" applyFont="1"/>
    <xf numFmtId="0" fontId="30" fillId="0" borderId="12" xfId="0" applyFont="1" applyBorder="1"/>
    <xf numFmtId="168" fontId="32" fillId="0" borderId="13" xfId="0" applyNumberFormat="1" applyFont="1" applyBorder="1" applyAlignment="1">
      <alignment wrapText="1"/>
    </xf>
    <xf numFmtId="168" fontId="30" fillId="0" borderId="13" xfId="0" applyNumberFormat="1" applyFont="1" applyBorder="1" applyAlignment="1">
      <alignment wrapText="1"/>
    </xf>
    <xf numFmtId="169" fontId="32" fillId="0" borderId="13" xfId="0" applyNumberFormat="1" applyFont="1" applyBorder="1" applyAlignment="1">
      <alignment wrapText="1"/>
    </xf>
    <xf numFmtId="169" fontId="30" fillId="0" borderId="13" xfId="0" applyNumberFormat="1" applyFont="1" applyBorder="1" applyAlignment="1">
      <alignment wrapText="1"/>
    </xf>
    <xf numFmtId="169" fontId="32" fillId="6" borderId="13" xfId="0" applyNumberFormat="1" applyFont="1" applyFill="1" applyBorder="1" applyAlignment="1">
      <alignment wrapText="1"/>
    </xf>
    <xf numFmtId="165" fontId="32" fillId="0" borderId="13" xfId="0" applyNumberFormat="1" applyFont="1" applyBorder="1" applyAlignment="1">
      <alignment wrapText="1"/>
    </xf>
    <xf numFmtId="165" fontId="30" fillId="0" borderId="13" xfId="0" applyNumberFormat="1" applyFont="1" applyBorder="1" applyAlignment="1">
      <alignment wrapText="1"/>
    </xf>
    <xf numFmtId="166" fontId="32" fillId="0" borderId="13" xfId="0" applyNumberFormat="1" applyFont="1" applyBorder="1" applyAlignment="1">
      <alignment wrapText="1"/>
    </xf>
    <xf numFmtId="166" fontId="30" fillId="0" borderId="13" xfId="0" applyNumberFormat="1" applyFont="1" applyBorder="1" applyAlignment="1">
      <alignment horizontal="justify" wrapText="1"/>
    </xf>
    <xf numFmtId="166" fontId="32" fillId="0" borderId="13" xfId="0" applyNumberFormat="1" applyFont="1" applyBorder="1" applyAlignment="1">
      <alignment horizontal="justify" wrapText="1"/>
    </xf>
    <xf numFmtId="166" fontId="38" fillId="0" borderId="13" xfId="0" applyNumberFormat="1" applyFont="1" applyBorder="1" applyAlignment="1">
      <alignment horizontal="justify" wrapText="1"/>
    </xf>
    <xf numFmtId="0" fontId="32" fillId="0" borderId="13" xfId="0" applyFont="1" applyBorder="1" applyAlignment="1">
      <alignment wrapText="1"/>
    </xf>
    <xf numFmtId="0" fontId="30" fillId="0" borderId="13" xfId="0" applyFont="1" applyBorder="1" applyAlignment="1">
      <alignment wrapText="1"/>
    </xf>
    <xf numFmtId="0" fontId="32" fillId="6" borderId="13" xfId="0" applyFont="1" applyFill="1" applyBorder="1" applyAlignment="1">
      <alignment wrapText="1"/>
    </xf>
    <xf numFmtId="168" fontId="32" fillId="6" borderId="13" xfId="0" applyNumberFormat="1" applyFont="1" applyFill="1" applyBorder="1"/>
    <xf numFmtId="168" fontId="30" fillId="6" borderId="13" xfId="0" applyNumberFormat="1" applyFont="1" applyFill="1" applyBorder="1"/>
    <xf numFmtId="169" fontId="30" fillId="6" borderId="13" xfId="0" applyNumberFormat="1" applyFont="1" applyFill="1" applyBorder="1"/>
    <xf numFmtId="165" fontId="32" fillId="6" borderId="13" xfId="0" applyNumberFormat="1" applyFont="1" applyFill="1" applyBorder="1"/>
    <xf numFmtId="165" fontId="30" fillId="6" borderId="13" xfId="0" applyNumberFormat="1" applyFont="1" applyFill="1" applyBorder="1"/>
    <xf numFmtId="166" fontId="38" fillId="0" borderId="13" xfId="0" applyNumberFormat="1" applyFont="1" applyBorder="1"/>
    <xf numFmtId="0" fontId="32" fillId="0" borderId="17" xfId="0" applyFont="1" applyBorder="1" applyAlignment="1">
      <alignment wrapText="1"/>
    </xf>
    <xf numFmtId="0" fontId="32" fillId="0" borderId="18" xfId="0" applyFont="1" applyBorder="1" applyAlignment="1">
      <alignment wrapText="1"/>
    </xf>
    <xf numFmtId="49" fontId="32" fillId="0" borderId="18" xfId="0" applyNumberFormat="1" applyFont="1" applyBorder="1" applyAlignment="1">
      <alignment wrapText="1"/>
    </xf>
    <xf numFmtId="49" fontId="32" fillId="0" borderId="19" xfId="0" applyNumberFormat="1" applyFont="1" applyBorder="1" applyAlignment="1">
      <alignment wrapText="1"/>
    </xf>
    <xf numFmtId="166" fontId="40" fillId="0" borderId="13" xfId="67" applyNumberFormat="1" applyFont="1" applyFill="1" applyBorder="1" applyProtection="1"/>
    <xf numFmtId="166" fontId="41" fillId="0" borderId="13" xfId="67" applyNumberFormat="1" applyFont="1" applyFill="1" applyBorder="1" applyProtection="1"/>
    <xf numFmtId="166" fontId="41" fillId="0" borderId="20" xfId="67" applyNumberFormat="1" applyFont="1" applyFill="1" applyBorder="1" applyProtection="1"/>
    <xf numFmtId="169" fontId="32" fillId="6" borderId="15" xfId="0" applyNumberFormat="1" applyFont="1" applyFill="1" applyBorder="1"/>
    <xf numFmtId="166" fontId="40" fillId="0" borderId="15" xfId="67" applyNumberFormat="1" applyFont="1" applyFill="1" applyBorder="1" applyProtection="1"/>
    <xf numFmtId="166" fontId="41" fillId="0" borderId="15" xfId="67" applyNumberFormat="1" applyFont="1" applyFill="1" applyBorder="1" applyProtection="1"/>
    <xf numFmtId="166" fontId="41" fillId="0" borderId="16" xfId="67" applyNumberFormat="1" applyFont="1" applyFill="1" applyBorder="1" applyProtection="1"/>
    <xf numFmtId="169" fontId="38" fillId="0" borderId="13" xfId="0" applyNumberFormat="1" applyFont="1" applyBorder="1"/>
    <xf numFmtId="0" fontId="32" fillId="0" borderId="24" xfId="0" applyFont="1" applyBorder="1"/>
    <xf numFmtId="49" fontId="32" fillId="0" borderId="25" xfId="0" applyNumberFormat="1" applyFont="1" applyBorder="1"/>
    <xf numFmtId="0" fontId="32" fillId="0" borderId="13" xfId="0" applyFont="1" applyBorder="1"/>
    <xf numFmtId="0" fontId="30" fillId="0" borderId="13" xfId="0" applyFont="1" applyBorder="1"/>
    <xf numFmtId="0" fontId="32" fillId="16" borderId="24" xfId="0" applyFont="1" applyFill="1" applyBorder="1" applyAlignment="1">
      <alignment wrapText="1"/>
    </xf>
    <xf numFmtId="49" fontId="32" fillId="16" borderId="25" xfId="0" applyNumberFormat="1" applyFont="1" applyFill="1" applyBorder="1" applyAlignment="1">
      <alignment wrapText="1"/>
    </xf>
    <xf numFmtId="0" fontId="32" fillId="16" borderId="12" xfId="0" applyFont="1" applyFill="1" applyBorder="1" applyAlignment="1">
      <alignment horizontal="center"/>
    </xf>
    <xf numFmtId="168" fontId="32" fillId="16" borderId="13" xfId="0" applyNumberFormat="1" applyFont="1" applyFill="1" applyBorder="1" applyAlignment="1">
      <alignment horizontal="right" wrapText="1"/>
    </xf>
    <xf numFmtId="168" fontId="30" fillId="16" borderId="13" xfId="0" applyNumberFormat="1" applyFont="1" applyFill="1" applyBorder="1" applyAlignment="1">
      <alignment horizontal="right" wrapText="1"/>
    </xf>
    <xf numFmtId="164" fontId="32" fillId="16" borderId="13" xfId="0" applyNumberFormat="1" applyFont="1" applyFill="1" applyBorder="1" applyAlignment="1">
      <alignment horizontal="right" wrapText="1"/>
    </xf>
    <xf numFmtId="164" fontId="30" fillId="16" borderId="13" xfId="0" applyNumberFormat="1" applyFont="1" applyFill="1" applyBorder="1" applyAlignment="1">
      <alignment horizontal="right" wrapText="1"/>
    </xf>
    <xf numFmtId="165" fontId="32" fillId="16" borderId="13" xfId="0" applyNumberFormat="1" applyFont="1" applyFill="1" applyBorder="1" applyAlignment="1">
      <alignment horizontal="right" wrapText="1"/>
    </xf>
    <xf numFmtId="165" fontId="30" fillId="16" borderId="13" xfId="0" applyNumberFormat="1" applyFont="1" applyFill="1" applyBorder="1" applyAlignment="1">
      <alignment horizontal="right" wrapText="1"/>
    </xf>
    <xf numFmtId="166" fontId="32" fillId="16" borderId="13" xfId="0" applyNumberFormat="1" applyFont="1" applyFill="1" applyBorder="1" applyAlignment="1">
      <alignment horizontal="right" wrapText="1"/>
    </xf>
    <xf numFmtId="166" fontId="30" fillId="16" borderId="13" xfId="0" applyNumberFormat="1" applyFont="1" applyFill="1" applyBorder="1" applyAlignment="1">
      <alignment horizontal="right" wrapText="1"/>
    </xf>
    <xf numFmtId="166" fontId="38" fillId="16" borderId="13" xfId="0" applyNumberFormat="1" applyFont="1" applyFill="1" applyBorder="1" applyAlignment="1">
      <alignment horizontal="right" wrapText="1"/>
    </xf>
    <xf numFmtId="164" fontId="33" fillId="16" borderId="13" xfId="0" applyNumberFormat="1" applyFont="1" applyFill="1" applyBorder="1" applyAlignment="1">
      <alignment wrapText="1"/>
    </xf>
    <xf numFmtId="168" fontId="34" fillId="0" borderId="13" xfId="0" applyNumberFormat="1" applyFont="1" applyBorder="1" applyAlignment="1">
      <alignment wrapText="1"/>
    </xf>
    <xf numFmtId="168" fontId="33" fillId="0" borderId="13" xfId="0" applyNumberFormat="1" applyFont="1" applyBorder="1" applyAlignment="1">
      <alignment wrapText="1"/>
    </xf>
    <xf numFmtId="164" fontId="34" fillId="0" borderId="13" xfId="0" applyNumberFormat="1" applyFont="1" applyBorder="1" applyAlignment="1">
      <alignment wrapText="1"/>
    </xf>
    <xf numFmtId="165" fontId="34" fillId="0" borderId="13" xfId="0" applyNumberFormat="1" applyFont="1" applyBorder="1" applyAlignment="1">
      <alignment wrapText="1"/>
    </xf>
    <xf numFmtId="165" fontId="33" fillId="0" borderId="13" xfId="0" applyNumberFormat="1" applyFont="1" applyBorder="1" applyAlignment="1">
      <alignment wrapText="1"/>
    </xf>
    <xf numFmtId="166" fontId="34" fillId="0" borderId="13" xfId="0" applyNumberFormat="1" applyFont="1" applyBorder="1" applyAlignment="1">
      <alignment wrapText="1"/>
    </xf>
    <xf numFmtId="166" fontId="33" fillId="0" borderId="13" xfId="0" applyNumberFormat="1" applyFont="1" applyBorder="1" applyAlignment="1">
      <alignment horizontal="justify" wrapText="1"/>
    </xf>
    <xf numFmtId="166" fontId="34" fillId="0" borderId="13" xfId="0" applyNumberFormat="1" applyFont="1" applyBorder="1" applyAlignment="1">
      <alignment horizontal="justify" wrapText="1"/>
    </xf>
    <xf numFmtId="166" fontId="42" fillId="0" borderId="13" xfId="0" applyNumberFormat="1" applyFont="1" applyBorder="1" applyAlignment="1">
      <alignment horizontal="justify" wrapText="1"/>
    </xf>
    <xf numFmtId="0" fontId="32" fillId="0" borderId="27" xfId="0" applyFont="1" applyBorder="1"/>
    <xf numFmtId="168" fontId="32" fillId="0" borderId="28" xfId="0" applyNumberFormat="1" applyFont="1" applyBorder="1" applyAlignment="1">
      <alignment wrapText="1"/>
    </xf>
    <xf numFmtId="168" fontId="30" fillId="0" borderId="28" xfId="0" applyNumberFormat="1" applyFont="1" applyBorder="1" applyAlignment="1">
      <alignment wrapText="1"/>
    </xf>
    <xf numFmtId="164" fontId="32" fillId="0" borderId="28" xfId="0" applyNumberFormat="1" applyFont="1" applyBorder="1" applyAlignment="1">
      <alignment wrapText="1"/>
    </xf>
    <xf numFmtId="164" fontId="30" fillId="0" borderId="28" xfId="0" applyNumberFormat="1" applyFont="1" applyBorder="1" applyAlignment="1">
      <alignment wrapText="1"/>
    </xf>
    <xf numFmtId="165" fontId="32" fillId="0" borderId="28" xfId="0" applyNumberFormat="1" applyFont="1" applyBorder="1" applyAlignment="1">
      <alignment wrapText="1"/>
    </xf>
    <xf numFmtId="165" fontId="30" fillId="0" borderId="28" xfId="0" applyNumberFormat="1" applyFont="1" applyBorder="1" applyAlignment="1">
      <alignment wrapText="1"/>
    </xf>
    <xf numFmtId="166" fontId="32" fillId="0" borderId="28" xfId="0" applyNumberFormat="1" applyFont="1" applyBorder="1" applyAlignment="1">
      <alignment wrapText="1"/>
    </xf>
    <xf numFmtId="166" fontId="30" fillId="0" borderId="28" xfId="0" applyNumberFormat="1" applyFont="1" applyBorder="1" applyAlignment="1">
      <alignment horizontal="justify" wrapText="1"/>
    </xf>
    <xf numFmtId="166" fontId="32" fillId="0" borderId="28" xfId="0" applyNumberFormat="1" applyFont="1" applyBorder="1" applyAlignment="1">
      <alignment horizontal="justify" wrapText="1"/>
    </xf>
    <xf numFmtId="166" fontId="38" fillId="0" borderId="28" xfId="0" applyNumberFormat="1" applyFont="1" applyBorder="1" applyAlignment="1">
      <alignment horizontal="justify" wrapText="1"/>
    </xf>
    <xf numFmtId="164" fontId="32" fillId="0" borderId="8" xfId="0" applyNumberFormat="1" applyFont="1" applyBorder="1" applyAlignment="1">
      <alignment wrapText="1"/>
    </xf>
    <xf numFmtId="164" fontId="30" fillId="0" borderId="8" xfId="0" applyNumberFormat="1" applyFont="1" applyBorder="1" applyAlignment="1">
      <alignment wrapText="1"/>
    </xf>
    <xf numFmtId="166" fontId="38" fillId="0" borderId="8" xfId="0" applyNumberFormat="1" applyFont="1" applyBorder="1" applyAlignment="1">
      <alignment horizontal="justify" wrapText="1"/>
    </xf>
    <xf numFmtId="168" fontId="32" fillId="0" borderId="8" xfId="0" applyNumberFormat="1" applyFont="1" applyBorder="1"/>
    <xf numFmtId="168" fontId="30" fillId="0" borderId="8" xfId="0" applyNumberFormat="1" applyFont="1" applyBorder="1"/>
    <xf numFmtId="169" fontId="32" fillId="0" borderId="8" xfId="0" applyNumberFormat="1" applyFont="1" applyBorder="1"/>
    <xf numFmtId="169" fontId="30" fillId="0" borderId="8" xfId="0" applyNumberFormat="1" applyFont="1" applyBorder="1"/>
    <xf numFmtId="165" fontId="32" fillId="0" borderId="8" xfId="0" applyNumberFormat="1" applyFont="1" applyBorder="1"/>
    <xf numFmtId="165" fontId="30" fillId="0" borderId="8" xfId="0" applyNumberFormat="1" applyFont="1" applyBorder="1"/>
    <xf numFmtId="166" fontId="32" fillId="0" borderId="8" xfId="0" applyNumberFormat="1" applyFont="1" applyBorder="1"/>
    <xf numFmtId="166" fontId="30" fillId="0" borderId="8" xfId="0" applyNumberFormat="1" applyFont="1" applyBorder="1" applyAlignment="1">
      <alignment horizontal="justify"/>
    </xf>
    <xf numFmtId="166" fontId="32" fillId="0" borderId="8" xfId="0" applyNumberFormat="1" applyFont="1" applyBorder="1" applyAlignment="1">
      <alignment horizontal="justify"/>
    </xf>
    <xf numFmtId="166" fontId="38" fillId="0" borderId="8" xfId="0" applyNumberFormat="1" applyFont="1" applyBorder="1" applyAlignment="1">
      <alignment horizontal="justify"/>
    </xf>
    <xf numFmtId="166" fontId="30" fillId="16" borderId="13" xfId="0" applyNumberFormat="1" applyFont="1" applyFill="1" applyBorder="1" applyAlignment="1">
      <alignment horizontal="justify" wrapText="1"/>
    </xf>
    <xf numFmtId="4" fontId="30" fillId="0" borderId="0" xfId="0" applyNumberFormat="1" applyFont="1"/>
    <xf numFmtId="166" fontId="30" fillId="0" borderId="0" xfId="0" applyNumberFormat="1" applyFont="1"/>
    <xf numFmtId="168" fontId="34" fillId="0" borderId="13" xfId="0" applyNumberFormat="1" applyFont="1" applyBorder="1" applyAlignment="1">
      <alignment horizontal="right" wrapText="1"/>
    </xf>
    <xf numFmtId="168" fontId="33" fillId="0" borderId="13" xfId="0" applyNumberFormat="1" applyFont="1" applyBorder="1" applyAlignment="1">
      <alignment horizontal="right" wrapText="1"/>
    </xf>
    <xf numFmtId="164" fontId="34" fillId="0" borderId="13" xfId="0" applyNumberFormat="1" applyFont="1" applyBorder="1" applyAlignment="1">
      <alignment horizontal="right" wrapText="1"/>
    </xf>
    <xf numFmtId="164" fontId="33" fillId="0" borderId="13" xfId="0" applyNumberFormat="1" applyFont="1" applyBorder="1" applyAlignment="1">
      <alignment horizontal="right" wrapText="1"/>
    </xf>
    <xf numFmtId="165" fontId="34" fillId="0" borderId="13" xfId="0" applyNumberFormat="1" applyFont="1" applyBorder="1" applyAlignment="1">
      <alignment horizontal="right" wrapText="1"/>
    </xf>
    <xf numFmtId="165" fontId="33" fillId="0" borderId="13" xfId="0" applyNumberFormat="1" applyFont="1" applyBorder="1" applyAlignment="1">
      <alignment horizontal="right" wrapText="1"/>
    </xf>
    <xf numFmtId="166" fontId="34" fillId="0" borderId="13" xfId="0" applyNumberFormat="1" applyFont="1" applyBorder="1" applyAlignment="1">
      <alignment horizontal="right" wrapText="1"/>
    </xf>
    <xf numFmtId="2" fontId="43" fillId="0" borderId="0" xfId="66" applyNumberFormat="1" applyFont="1" applyBorder="1" applyAlignment="1" applyProtection="1">
      <alignment horizontal="right"/>
    </xf>
    <xf numFmtId="166" fontId="30" fillId="0" borderId="13" xfId="0" applyNumberFormat="1" applyFont="1" applyBorder="1"/>
    <xf numFmtId="165" fontId="32" fillId="0" borderId="0" xfId="0" applyNumberFormat="1" applyFont="1"/>
    <xf numFmtId="168" fontId="32" fillId="0" borderId="28" xfId="0" applyNumberFormat="1" applyFont="1" applyBorder="1"/>
    <xf numFmtId="168" fontId="30" fillId="0" borderId="28" xfId="0" applyNumberFormat="1" applyFont="1" applyBorder="1"/>
    <xf numFmtId="169" fontId="32" fillId="0" borderId="28" xfId="0" applyNumberFormat="1" applyFont="1" applyBorder="1"/>
    <xf numFmtId="169" fontId="30" fillId="0" borderId="28" xfId="0" applyNumberFormat="1" applyFont="1" applyBorder="1"/>
    <xf numFmtId="165" fontId="32" fillId="0" borderId="28" xfId="0" applyNumberFormat="1" applyFont="1" applyBorder="1"/>
    <xf numFmtId="165" fontId="30" fillId="0" borderId="28" xfId="0" applyNumberFormat="1" applyFont="1" applyBorder="1"/>
    <xf numFmtId="166" fontId="32" fillId="0" borderId="28" xfId="0" applyNumberFormat="1" applyFont="1" applyBorder="1"/>
    <xf numFmtId="166" fontId="30" fillId="0" borderId="28" xfId="0" applyNumberFormat="1" applyFont="1" applyBorder="1" applyAlignment="1">
      <alignment horizontal="justify"/>
    </xf>
    <xf numFmtId="168" fontId="32" fillId="0" borderId="15" xfId="0" applyNumberFormat="1" applyFont="1" applyBorder="1" applyAlignment="1">
      <alignment wrapText="1"/>
    </xf>
    <xf numFmtId="168" fontId="30" fillId="0" borderId="15" xfId="0" applyNumberFormat="1" applyFont="1" applyBorder="1" applyAlignment="1">
      <alignment wrapText="1"/>
    </xf>
    <xf numFmtId="0" fontId="32" fillId="0" borderId="15" xfId="0" applyFont="1" applyBorder="1" applyAlignment="1">
      <alignment wrapText="1"/>
    </xf>
    <xf numFmtId="0" fontId="30" fillId="0" borderId="15" xfId="0" applyFont="1" applyBorder="1" applyAlignment="1">
      <alignment wrapText="1"/>
    </xf>
    <xf numFmtId="165" fontId="32" fillId="0" borderId="15" xfId="0" applyNumberFormat="1" applyFont="1" applyBorder="1" applyAlignment="1">
      <alignment wrapText="1"/>
    </xf>
    <xf numFmtId="165" fontId="30" fillId="0" borderId="15" xfId="0" applyNumberFormat="1" applyFont="1" applyBorder="1" applyAlignment="1">
      <alignment wrapText="1"/>
    </xf>
    <xf numFmtId="166" fontId="32" fillId="0" borderId="15" xfId="0" applyNumberFormat="1" applyFont="1" applyBorder="1" applyAlignment="1">
      <alignment wrapText="1"/>
    </xf>
    <xf numFmtId="166" fontId="30" fillId="0" borderId="15" xfId="0" applyNumberFormat="1" applyFont="1" applyBorder="1" applyAlignment="1">
      <alignment horizontal="justify" wrapText="1"/>
    </xf>
    <xf numFmtId="166" fontId="32" fillId="0" borderId="15" xfId="0" applyNumberFormat="1" applyFont="1" applyBorder="1" applyAlignment="1">
      <alignment horizontal="justify" wrapText="1"/>
    </xf>
    <xf numFmtId="166" fontId="38" fillId="0" borderId="15" xfId="0" applyNumberFormat="1" applyFont="1" applyBorder="1" applyAlignment="1">
      <alignment horizontal="justify" wrapText="1"/>
    </xf>
    <xf numFmtId="4" fontId="0" fillId="0" borderId="0" xfId="0" applyNumberFormat="1"/>
    <xf numFmtId="0" fontId="35" fillId="17" borderId="24" xfId="0" applyFont="1" applyFill="1" applyBorder="1" applyAlignment="1">
      <alignment wrapText="1"/>
    </xf>
    <xf numFmtId="49" fontId="35" fillId="17" borderId="25" xfId="0" applyNumberFormat="1" applyFont="1" applyFill="1" applyBorder="1" applyAlignment="1">
      <alignment wrapText="1"/>
    </xf>
    <xf numFmtId="0" fontId="35" fillId="17" borderId="12" xfId="0" applyFont="1" applyFill="1" applyBorder="1" applyAlignment="1">
      <alignment horizontal="center"/>
    </xf>
    <xf numFmtId="168" fontId="35" fillId="17" borderId="13" xfId="0" applyNumberFormat="1" applyFont="1" applyFill="1" applyBorder="1" applyAlignment="1">
      <alignment horizontal="right" wrapText="1"/>
    </xf>
    <xf numFmtId="168" fontId="36" fillId="17" borderId="13" xfId="0" applyNumberFormat="1" applyFont="1" applyFill="1" applyBorder="1" applyAlignment="1">
      <alignment horizontal="right" wrapText="1"/>
    </xf>
    <xf numFmtId="170" fontId="36" fillId="17" borderId="13" xfId="0" applyNumberFormat="1" applyFont="1" applyFill="1" applyBorder="1" applyAlignment="1">
      <alignment horizontal="right" wrapText="1"/>
    </xf>
    <xf numFmtId="165" fontId="35" fillId="17" borderId="13" xfId="0" applyNumberFormat="1" applyFont="1" applyFill="1" applyBorder="1" applyAlignment="1">
      <alignment horizontal="right" wrapText="1"/>
    </xf>
    <xf numFmtId="165" fontId="36" fillId="17" borderId="13" xfId="0" applyNumberFormat="1" applyFont="1" applyFill="1" applyBorder="1" applyAlignment="1">
      <alignment horizontal="right" wrapText="1"/>
    </xf>
    <xf numFmtId="166" fontId="35" fillId="17" borderId="13" xfId="0" applyNumberFormat="1" applyFont="1" applyFill="1" applyBorder="1" applyAlignment="1">
      <alignment horizontal="right" wrapText="1"/>
    </xf>
    <xf numFmtId="166" fontId="36" fillId="17" borderId="13" xfId="0" applyNumberFormat="1" applyFont="1" applyFill="1" applyBorder="1" applyAlignment="1">
      <alignment horizontal="right" wrapText="1"/>
    </xf>
    <xf numFmtId="166" fontId="2" fillId="17" borderId="13" xfId="0" applyNumberFormat="1" applyFont="1" applyFill="1" applyBorder="1" applyAlignment="1">
      <alignment horizontal="right" wrapText="1"/>
    </xf>
    <xf numFmtId="164" fontId="37" fillId="17" borderId="13" xfId="0" applyNumberFormat="1" applyFont="1" applyFill="1" applyBorder="1" applyAlignment="1">
      <alignment wrapText="1"/>
    </xf>
    <xf numFmtId="171" fontId="30" fillId="0" borderId="0" xfId="0" applyNumberFormat="1" applyFont="1"/>
    <xf numFmtId="0" fontId="35" fillId="14" borderId="24" xfId="0" applyFont="1" applyFill="1" applyBorder="1" applyAlignment="1">
      <alignment wrapText="1"/>
    </xf>
    <xf numFmtId="49" fontId="35" fillId="14" borderId="25" xfId="0" applyNumberFormat="1" applyFont="1" applyFill="1" applyBorder="1" applyAlignment="1">
      <alignment wrapText="1"/>
    </xf>
    <xf numFmtId="166" fontId="2" fillId="14" borderId="13" xfId="0" applyNumberFormat="1" applyFont="1" applyFill="1" applyBorder="1" applyAlignment="1">
      <alignment horizontal="justify" wrapText="1"/>
    </xf>
    <xf numFmtId="0" fontId="32" fillId="6" borderId="27" xfId="0" applyFont="1" applyFill="1" applyBorder="1"/>
    <xf numFmtId="168" fontId="32" fillId="6" borderId="28" xfId="0" applyNumberFormat="1" applyFont="1" applyFill="1" applyBorder="1" applyAlignment="1">
      <alignment wrapText="1"/>
    </xf>
    <xf numFmtId="168" fontId="30" fillId="6" borderId="28" xfId="0" applyNumberFormat="1" applyFont="1" applyFill="1" applyBorder="1" applyAlignment="1">
      <alignment wrapText="1"/>
    </xf>
    <xf numFmtId="0" fontId="32" fillId="6" borderId="28" xfId="0" applyFont="1" applyFill="1" applyBorder="1" applyAlignment="1">
      <alignment wrapText="1"/>
    </xf>
    <xf numFmtId="0" fontId="30" fillId="6" borderId="28" xfId="0" applyFont="1" applyFill="1" applyBorder="1" applyAlignment="1">
      <alignment wrapText="1"/>
    </xf>
    <xf numFmtId="165" fontId="32" fillId="6" borderId="28" xfId="0" applyNumberFormat="1" applyFont="1" applyFill="1" applyBorder="1" applyAlignment="1">
      <alignment wrapText="1"/>
    </xf>
    <xf numFmtId="165" fontId="30" fillId="6" borderId="28" xfId="0" applyNumberFormat="1" applyFont="1" applyFill="1" applyBorder="1" applyAlignment="1">
      <alignment wrapText="1"/>
    </xf>
    <xf numFmtId="166" fontId="32" fillId="6" borderId="28" xfId="0" applyNumberFormat="1" applyFont="1" applyFill="1" applyBorder="1" applyAlignment="1">
      <alignment wrapText="1"/>
    </xf>
    <xf numFmtId="166" fontId="30" fillId="6" borderId="28" xfId="0" applyNumberFormat="1" applyFont="1" applyFill="1" applyBorder="1" applyAlignment="1">
      <alignment horizontal="justify" wrapText="1"/>
    </xf>
    <xf numFmtId="166" fontId="32" fillId="6" borderId="28" xfId="0" applyNumberFormat="1" applyFont="1" applyFill="1" applyBorder="1" applyAlignment="1">
      <alignment horizontal="justify" wrapText="1"/>
    </xf>
    <xf numFmtId="166" fontId="38" fillId="6" borderId="28" xfId="0" applyNumberFormat="1" applyFont="1" applyFill="1" applyBorder="1" applyAlignment="1">
      <alignment horizontal="justify" wrapText="1"/>
    </xf>
    <xf numFmtId="0" fontId="32" fillId="6" borderId="24" xfId="0" applyFont="1" applyFill="1" applyBorder="1" applyAlignment="1">
      <alignment wrapText="1"/>
    </xf>
    <xf numFmtId="0" fontId="30" fillId="6" borderId="26" xfId="0" applyFont="1" applyFill="1" applyBorder="1"/>
    <xf numFmtId="0" fontId="30" fillId="6" borderId="12" xfId="0" applyFont="1" applyFill="1" applyBorder="1"/>
    <xf numFmtId="0" fontId="32" fillId="6" borderId="30" xfId="0" applyFont="1" applyFill="1" applyBorder="1" applyAlignment="1">
      <alignment horizontal="center"/>
    </xf>
    <xf numFmtId="168" fontId="32" fillId="6" borderId="14" xfId="0" applyNumberFormat="1" applyFont="1" applyFill="1" applyBorder="1" applyAlignment="1">
      <alignment horizontal="right" wrapText="1"/>
    </xf>
    <xf numFmtId="168" fontId="30" fillId="6" borderId="14" xfId="0" applyNumberFormat="1" applyFont="1" applyFill="1" applyBorder="1" applyAlignment="1">
      <alignment horizontal="right" wrapText="1"/>
    </xf>
    <xf numFmtId="168" fontId="30" fillId="6" borderId="7" xfId="0" applyNumberFormat="1" applyFont="1" applyFill="1" applyBorder="1"/>
    <xf numFmtId="164" fontId="32" fillId="6" borderId="14" xfId="0" applyNumberFormat="1" applyFont="1" applyFill="1" applyBorder="1" applyAlignment="1">
      <alignment horizontal="right" wrapText="1"/>
    </xf>
    <xf numFmtId="164" fontId="30" fillId="6" borderId="14" xfId="0" applyNumberFormat="1" applyFont="1" applyFill="1" applyBorder="1" applyAlignment="1">
      <alignment horizontal="right" wrapText="1"/>
    </xf>
    <xf numFmtId="165" fontId="32" fillId="6" borderId="14" xfId="0" applyNumberFormat="1" applyFont="1" applyFill="1" applyBorder="1" applyAlignment="1">
      <alignment horizontal="right" wrapText="1"/>
    </xf>
    <xf numFmtId="165" fontId="30" fillId="6" borderId="14" xfId="0" applyNumberFormat="1" applyFont="1" applyFill="1" applyBorder="1" applyAlignment="1">
      <alignment horizontal="right" wrapText="1"/>
    </xf>
    <xf numFmtId="166" fontId="32" fillId="6" borderId="14" xfId="0" applyNumberFormat="1" applyFont="1" applyFill="1" applyBorder="1" applyAlignment="1">
      <alignment horizontal="right" wrapText="1"/>
    </xf>
    <xf numFmtId="166" fontId="30" fillId="6" borderId="14" xfId="0" applyNumberFormat="1" applyFont="1" applyFill="1" applyBorder="1" applyAlignment="1">
      <alignment horizontal="justify" wrapText="1"/>
    </xf>
    <xf numFmtId="166" fontId="32" fillId="6" borderId="14" xfId="0" applyNumberFormat="1" applyFont="1" applyFill="1" applyBorder="1" applyAlignment="1">
      <alignment horizontal="justify" wrapText="1"/>
    </xf>
    <xf numFmtId="166" fontId="38" fillId="6" borderId="14" xfId="0" applyNumberFormat="1" applyFont="1" applyFill="1" applyBorder="1" applyAlignment="1">
      <alignment horizontal="justify" wrapText="1"/>
    </xf>
    <xf numFmtId="168" fontId="32" fillId="6" borderId="15" xfId="0" applyNumberFormat="1" applyFont="1" applyFill="1" applyBorder="1"/>
    <xf numFmtId="168" fontId="32" fillId="16" borderId="7" xfId="0" applyNumberFormat="1" applyFont="1" applyFill="1" applyBorder="1" applyAlignment="1">
      <alignment horizontal="right" wrapText="1"/>
    </xf>
    <xf numFmtId="168" fontId="30" fillId="16" borderId="7" xfId="0" applyNumberFormat="1" applyFont="1" applyFill="1" applyBorder="1" applyAlignment="1">
      <alignment horizontal="right" wrapText="1"/>
    </xf>
    <xf numFmtId="166" fontId="32" fillId="6" borderId="13" xfId="0" applyNumberFormat="1" applyFont="1" applyFill="1" applyBorder="1"/>
    <xf numFmtId="166" fontId="30" fillId="6" borderId="13" xfId="0" applyNumberFormat="1" applyFont="1" applyFill="1" applyBorder="1" applyAlignment="1">
      <alignment horizontal="justify"/>
    </xf>
    <xf numFmtId="166" fontId="32" fillId="6" borderId="13" xfId="0" applyNumberFormat="1" applyFont="1" applyFill="1" applyBorder="1" applyAlignment="1">
      <alignment horizontal="justify"/>
    </xf>
    <xf numFmtId="166" fontId="38" fillId="6" borderId="13" xfId="0" applyNumberFormat="1" applyFont="1" applyFill="1" applyBorder="1" applyAlignment="1">
      <alignment horizontal="justify"/>
    </xf>
    <xf numFmtId="164" fontId="30" fillId="16" borderId="7" xfId="0" applyNumberFormat="1" applyFont="1" applyFill="1" applyBorder="1" applyAlignment="1">
      <alignment horizontal="right" wrapText="1"/>
    </xf>
    <xf numFmtId="164" fontId="32" fillId="16" borderId="7" xfId="0" applyNumberFormat="1" applyFont="1" applyFill="1" applyBorder="1" applyAlignment="1">
      <alignment horizontal="right" wrapText="1"/>
    </xf>
    <xf numFmtId="165" fontId="32" fillId="16" borderId="7" xfId="0" applyNumberFormat="1" applyFont="1" applyFill="1" applyBorder="1" applyAlignment="1">
      <alignment horizontal="right" wrapText="1"/>
    </xf>
    <xf numFmtId="165" fontId="30" fillId="16" borderId="7" xfId="0" applyNumberFormat="1" applyFont="1" applyFill="1" applyBorder="1" applyAlignment="1">
      <alignment horizontal="right" wrapText="1"/>
    </xf>
    <xf numFmtId="166" fontId="32" fillId="16" borderId="7" xfId="0" applyNumberFormat="1" applyFont="1" applyFill="1" applyBorder="1" applyAlignment="1">
      <alignment horizontal="right" wrapText="1"/>
    </xf>
    <xf numFmtId="166" fontId="30" fillId="16" borderId="7" xfId="0" applyNumberFormat="1" applyFont="1" applyFill="1" applyBorder="1" applyAlignment="1">
      <alignment horizontal="justify" wrapText="1"/>
    </xf>
    <xf numFmtId="166" fontId="38" fillId="16" borderId="7" xfId="0" applyNumberFormat="1" applyFont="1" applyFill="1" applyBorder="1" applyAlignment="1">
      <alignment horizontal="right" wrapText="1"/>
    </xf>
    <xf numFmtId="0" fontId="32" fillId="6" borderId="12" xfId="0" applyFont="1" applyFill="1" applyBorder="1"/>
    <xf numFmtId="168" fontId="32" fillId="6" borderId="15" xfId="0" applyNumberFormat="1" applyFont="1" applyFill="1" applyBorder="1" applyAlignment="1">
      <alignment wrapText="1"/>
    </xf>
    <xf numFmtId="168" fontId="30" fillId="6" borderId="15" xfId="0" applyNumberFormat="1" applyFont="1" applyFill="1" applyBorder="1" applyAlignment="1">
      <alignment wrapText="1"/>
    </xf>
    <xf numFmtId="168" fontId="32" fillId="6" borderId="13" xfId="0" applyNumberFormat="1" applyFont="1" applyFill="1" applyBorder="1" applyAlignment="1">
      <alignment wrapText="1"/>
    </xf>
    <xf numFmtId="0" fontId="30" fillId="6" borderId="13" xfId="0" applyFont="1" applyFill="1" applyBorder="1" applyAlignment="1">
      <alignment wrapText="1"/>
    </xf>
    <xf numFmtId="165" fontId="32" fillId="6" borderId="13" xfId="0" applyNumberFormat="1" applyFont="1" applyFill="1" applyBorder="1" applyAlignment="1">
      <alignment wrapText="1"/>
    </xf>
    <xf numFmtId="165" fontId="30" fillId="6" borderId="13" xfId="0" applyNumberFormat="1" applyFont="1" applyFill="1" applyBorder="1" applyAlignment="1">
      <alignment wrapText="1"/>
    </xf>
    <xf numFmtId="166" fontId="32" fillId="6" borderId="13" xfId="0" applyNumberFormat="1" applyFont="1" applyFill="1" applyBorder="1" applyAlignment="1">
      <alignment wrapText="1"/>
    </xf>
    <xf numFmtId="166" fontId="30" fillId="6" borderId="13" xfId="0" applyNumberFormat="1" applyFont="1" applyFill="1" applyBorder="1" applyAlignment="1">
      <alignment horizontal="justify" wrapText="1"/>
    </xf>
    <xf numFmtId="166" fontId="32" fillId="6" borderId="13" xfId="0" applyNumberFormat="1" applyFont="1" applyFill="1" applyBorder="1" applyAlignment="1">
      <alignment horizontal="justify" wrapText="1"/>
    </xf>
    <xf numFmtId="166" fontId="38" fillId="6" borderId="13" xfId="0" applyNumberFormat="1" applyFont="1" applyFill="1" applyBorder="1" applyAlignment="1">
      <alignment horizontal="justify" wrapText="1"/>
    </xf>
    <xf numFmtId="168" fontId="30" fillId="6" borderId="13" xfId="0" applyNumberFormat="1" applyFont="1" applyFill="1" applyBorder="1" applyAlignment="1">
      <alignment wrapText="1"/>
    </xf>
    <xf numFmtId="164" fontId="33" fillId="6" borderId="28" xfId="0" applyNumberFormat="1" applyFont="1" applyFill="1" applyBorder="1" applyAlignment="1">
      <alignment wrapText="1"/>
    </xf>
    <xf numFmtId="166" fontId="27" fillId="0" borderId="13" xfId="51" applyNumberFormat="1" applyBorder="1" applyProtection="1"/>
    <xf numFmtId="166" fontId="38" fillId="0" borderId="13" xfId="51" applyNumberFormat="1" applyFont="1" applyBorder="1" applyProtection="1"/>
    <xf numFmtId="166" fontId="4" fillId="0" borderId="13" xfId="51" applyNumberFormat="1" applyFont="1" applyBorder="1" applyProtection="1"/>
    <xf numFmtId="166" fontId="38" fillId="0" borderId="20" xfId="51" applyNumberFormat="1" applyFont="1" applyBorder="1" applyProtection="1"/>
    <xf numFmtId="172" fontId="44" fillId="0" borderId="7" xfId="0" applyNumberFormat="1" applyFont="1" applyBorder="1"/>
    <xf numFmtId="166" fontId="38" fillId="0" borderId="7" xfId="0" applyNumberFormat="1" applyFont="1" applyBorder="1"/>
    <xf numFmtId="172" fontId="4" fillId="0" borderId="7" xfId="0" applyNumberFormat="1" applyFont="1" applyBorder="1"/>
    <xf numFmtId="0" fontId="38" fillId="0" borderId="5" xfId="0" applyFont="1" applyBorder="1"/>
    <xf numFmtId="168" fontId="30" fillId="6" borderId="15" xfId="0" applyNumberFormat="1" applyFont="1" applyFill="1" applyBorder="1"/>
    <xf numFmtId="169" fontId="30" fillId="6" borderId="15" xfId="0" applyNumberFormat="1" applyFont="1" applyFill="1" applyBorder="1"/>
    <xf numFmtId="166" fontId="32" fillId="16" borderId="13" xfId="0" applyNumberFormat="1" applyFont="1" applyFill="1" applyBorder="1" applyAlignment="1">
      <alignment horizontal="justify" wrapText="1"/>
    </xf>
    <xf numFmtId="166" fontId="38" fillId="16" borderId="13" xfId="0" applyNumberFormat="1" applyFont="1" applyFill="1" applyBorder="1" applyAlignment="1">
      <alignment horizontal="justify" wrapText="1"/>
    </xf>
    <xf numFmtId="0" fontId="32" fillId="0" borderId="30" xfId="0" applyFont="1" applyBorder="1" applyAlignment="1">
      <alignment horizontal="center"/>
    </xf>
    <xf numFmtId="168" fontId="32" fillId="0" borderId="14" xfId="0" applyNumberFormat="1" applyFont="1" applyBorder="1" applyAlignment="1">
      <alignment horizontal="right" wrapText="1"/>
    </xf>
    <xf numFmtId="168" fontId="30" fillId="0" borderId="14" xfId="0" applyNumberFormat="1" applyFont="1" applyBorder="1" applyAlignment="1">
      <alignment horizontal="right" wrapText="1"/>
    </xf>
    <xf numFmtId="168" fontId="30" fillId="6" borderId="14" xfId="0" applyNumberFormat="1" applyFont="1" applyFill="1" applyBorder="1" applyAlignment="1">
      <alignment wrapText="1"/>
    </xf>
    <xf numFmtId="164" fontId="32" fillId="0" borderId="14" xfId="0" applyNumberFormat="1" applyFont="1" applyBorder="1" applyAlignment="1">
      <alignment horizontal="right" wrapText="1"/>
    </xf>
    <xf numFmtId="164" fontId="30" fillId="0" borderId="14" xfId="0" applyNumberFormat="1" applyFont="1" applyBorder="1" applyAlignment="1">
      <alignment horizontal="right" wrapText="1"/>
    </xf>
    <xf numFmtId="165" fontId="32" fillId="0" borderId="14" xfId="0" applyNumberFormat="1" applyFont="1" applyBorder="1" applyAlignment="1">
      <alignment horizontal="right" wrapText="1"/>
    </xf>
    <xf numFmtId="165" fontId="30" fillId="0" borderId="14" xfId="0" applyNumberFormat="1" applyFont="1" applyBorder="1" applyAlignment="1">
      <alignment horizontal="right" wrapText="1"/>
    </xf>
    <xf numFmtId="166" fontId="32" fillId="0" borderId="14" xfId="0" applyNumberFormat="1" applyFont="1" applyBorder="1" applyAlignment="1">
      <alignment horizontal="right" wrapText="1"/>
    </xf>
    <xf numFmtId="166" fontId="30" fillId="0" borderId="14" xfId="0" applyNumberFormat="1" applyFont="1" applyBorder="1" applyAlignment="1">
      <alignment horizontal="justify" wrapText="1"/>
    </xf>
    <xf numFmtId="166" fontId="32" fillId="0" borderId="14" xfId="0" applyNumberFormat="1" applyFont="1" applyBorder="1" applyAlignment="1">
      <alignment horizontal="justify" wrapText="1"/>
    </xf>
    <xf numFmtId="166" fontId="38" fillId="0" borderId="14" xfId="0" applyNumberFormat="1" applyFont="1" applyBorder="1" applyAlignment="1">
      <alignment horizontal="justify" wrapText="1"/>
    </xf>
    <xf numFmtId="168" fontId="30" fillId="0" borderId="14" xfId="0" applyNumberFormat="1" applyFont="1" applyBorder="1"/>
    <xf numFmtId="168" fontId="30" fillId="0" borderId="32" xfId="0" applyNumberFormat="1" applyFont="1" applyBorder="1"/>
    <xf numFmtId="165" fontId="30" fillId="18" borderId="13" xfId="0" applyNumberFormat="1" applyFont="1" applyFill="1" applyBorder="1"/>
    <xf numFmtId="165" fontId="30" fillId="18" borderId="15" xfId="0" applyNumberFormat="1" applyFont="1" applyFill="1" applyBorder="1"/>
    <xf numFmtId="0" fontId="32" fillId="0" borderId="12" xfId="0" applyFont="1" applyBorder="1" applyAlignment="1">
      <alignment horizontal="center"/>
    </xf>
    <xf numFmtId="168" fontId="32" fillId="0" borderId="13" xfId="0" applyNumberFormat="1" applyFont="1" applyBorder="1" applyAlignment="1">
      <alignment horizontal="right" wrapText="1"/>
    </xf>
    <xf numFmtId="168" fontId="30" fillId="0" borderId="13" xfId="0" applyNumberFormat="1" applyFont="1" applyBorder="1" applyAlignment="1">
      <alignment horizontal="right" wrapText="1"/>
    </xf>
    <xf numFmtId="164" fontId="32" fillId="0" borderId="13" xfId="0" applyNumberFormat="1" applyFont="1" applyBorder="1" applyAlignment="1">
      <alignment horizontal="right" wrapText="1"/>
    </xf>
    <xf numFmtId="164" fontId="30" fillId="0" borderId="13" xfId="0" applyNumberFormat="1" applyFont="1" applyBorder="1" applyAlignment="1">
      <alignment horizontal="right" wrapText="1"/>
    </xf>
    <xf numFmtId="165" fontId="32" fillId="0" borderId="13" xfId="0" applyNumberFormat="1" applyFont="1" applyBorder="1" applyAlignment="1">
      <alignment horizontal="right" wrapText="1"/>
    </xf>
    <xf numFmtId="165" fontId="30" fillId="0" borderId="13" xfId="0" applyNumberFormat="1" applyFont="1" applyBorder="1" applyAlignment="1">
      <alignment horizontal="right" wrapText="1"/>
    </xf>
    <xf numFmtId="166" fontId="32" fillId="0" borderId="13" xfId="0" applyNumberFormat="1" applyFont="1" applyBorder="1" applyAlignment="1">
      <alignment horizontal="right" wrapText="1"/>
    </xf>
    <xf numFmtId="165" fontId="32" fillId="6" borderId="15" xfId="0" applyNumberFormat="1" applyFont="1" applyFill="1" applyBorder="1"/>
    <xf numFmtId="165" fontId="30" fillId="6" borderId="15" xfId="0" applyNumberFormat="1" applyFont="1" applyFill="1" applyBorder="1"/>
    <xf numFmtId="166" fontId="32" fillId="6" borderId="15" xfId="0" applyNumberFormat="1" applyFont="1" applyFill="1" applyBorder="1"/>
    <xf numFmtId="166" fontId="30" fillId="6" borderId="15" xfId="0" applyNumberFormat="1" applyFont="1" applyFill="1" applyBorder="1" applyAlignment="1">
      <alignment horizontal="justify"/>
    </xf>
    <xf numFmtId="166" fontId="32" fillId="6" borderId="15" xfId="0" applyNumberFormat="1" applyFont="1" applyFill="1" applyBorder="1" applyAlignment="1">
      <alignment horizontal="justify"/>
    </xf>
    <xf numFmtId="166" fontId="38" fillId="6" borderId="15" xfId="0" applyNumberFormat="1" applyFont="1" applyFill="1" applyBorder="1" applyAlignment="1">
      <alignment horizontal="justify"/>
    </xf>
    <xf numFmtId="165" fontId="30" fillId="6" borderId="14" xfId="0" applyNumberFormat="1" applyFont="1" applyFill="1" applyBorder="1" applyAlignment="1">
      <alignment wrapText="1"/>
    </xf>
    <xf numFmtId="166" fontId="32" fillId="6" borderId="14" xfId="0" applyNumberFormat="1" applyFont="1" applyFill="1" applyBorder="1" applyAlignment="1">
      <alignment wrapText="1"/>
    </xf>
    <xf numFmtId="166" fontId="32" fillId="0" borderId="32" xfId="0" applyNumberFormat="1" applyFont="1" applyBorder="1"/>
    <xf numFmtId="166" fontId="30" fillId="0" borderId="32" xfId="0" applyNumberFormat="1" applyFont="1" applyBorder="1" applyAlignment="1">
      <alignment horizontal="justify"/>
    </xf>
    <xf numFmtId="0" fontId="34" fillId="16" borderId="12" xfId="0" applyFont="1" applyFill="1" applyBorder="1" applyAlignment="1">
      <alignment horizontal="center"/>
    </xf>
    <xf numFmtId="164" fontId="33" fillId="16" borderId="13" xfId="0" applyNumberFormat="1" applyFont="1" applyFill="1" applyBorder="1" applyAlignment="1">
      <alignment horizontal="right" wrapText="1"/>
    </xf>
    <xf numFmtId="0" fontId="34" fillId="16" borderId="30" xfId="0" applyFont="1" applyFill="1" applyBorder="1" applyAlignment="1">
      <alignment horizontal="center"/>
    </xf>
    <xf numFmtId="168" fontId="32" fillId="16" borderId="14" xfId="0" applyNumberFormat="1" applyFont="1" applyFill="1" applyBorder="1" applyAlignment="1">
      <alignment horizontal="right" wrapText="1"/>
    </xf>
    <xf numFmtId="168" fontId="30" fillId="16" borderId="14" xfId="0" applyNumberFormat="1" applyFont="1" applyFill="1" applyBorder="1" applyAlignment="1">
      <alignment horizontal="right" wrapText="1"/>
    </xf>
    <xf numFmtId="165" fontId="32" fillId="16" borderId="14" xfId="0" applyNumberFormat="1" applyFont="1" applyFill="1" applyBorder="1" applyAlignment="1">
      <alignment horizontal="right" wrapText="1"/>
    </xf>
    <xf numFmtId="165" fontId="30" fillId="16" borderId="14" xfId="0" applyNumberFormat="1" applyFont="1" applyFill="1" applyBorder="1" applyAlignment="1">
      <alignment horizontal="right" wrapText="1"/>
    </xf>
    <xf numFmtId="166" fontId="32" fillId="16" borderId="14" xfId="0" applyNumberFormat="1" applyFont="1" applyFill="1" applyBorder="1" applyAlignment="1">
      <alignment horizontal="right" wrapText="1"/>
    </xf>
    <xf numFmtId="166" fontId="30" fillId="16" borderId="14" xfId="0" applyNumberFormat="1" applyFont="1" applyFill="1" applyBorder="1" applyAlignment="1">
      <alignment horizontal="right" wrapText="1"/>
    </xf>
    <xf numFmtId="166" fontId="38" fillId="16" borderId="14" xfId="0" applyNumberFormat="1" applyFont="1" applyFill="1" applyBorder="1" applyAlignment="1">
      <alignment horizontal="right" wrapText="1"/>
    </xf>
    <xf numFmtId="0" fontId="32" fillId="6" borderId="30" xfId="0" applyFont="1" applyFill="1" applyBorder="1"/>
    <xf numFmtId="165" fontId="32" fillId="6" borderId="14" xfId="0" applyNumberFormat="1" applyFont="1" applyFill="1" applyBorder="1" applyAlignment="1">
      <alignment wrapText="1"/>
    </xf>
    <xf numFmtId="0" fontId="32" fillId="0" borderId="33" xfId="0" applyFont="1" applyBorder="1" applyAlignment="1">
      <alignment wrapText="1"/>
    </xf>
    <xf numFmtId="0" fontId="32" fillId="0" borderId="34" xfId="0" applyFont="1" applyBorder="1" applyAlignment="1">
      <alignment wrapText="1"/>
    </xf>
    <xf numFmtId="49" fontId="32" fillId="0" borderId="34" xfId="0" applyNumberFormat="1" applyFont="1" applyBorder="1" applyAlignment="1">
      <alignment wrapText="1"/>
    </xf>
    <xf numFmtId="49" fontId="32" fillId="0" borderId="35" xfId="0" applyNumberFormat="1" applyFont="1" applyBorder="1" applyAlignment="1">
      <alignment wrapText="1"/>
    </xf>
    <xf numFmtId="0" fontId="30" fillId="6" borderId="36" xfId="0" applyFont="1" applyFill="1" applyBorder="1"/>
    <xf numFmtId="165" fontId="32" fillId="0" borderId="32" xfId="0" applyNumberFormat="1" applyFont="1" applyBorder="1"/>
    <xf numFmtId="166" fontId="32" fillId="0" borderId="2" xfId="0" applyNumberFormat="1" applyFont="1" applyBorder="1"/>
    <xf numFmtId="166" fontId="30" fillId="0" borderId="2" xfId="0" applyNumberFormat="1" applyFont="1" applyBorder="1" applyAlignment="1">
      <alignment horizontal="justify"/>
    </xf>
    <xf numFmtId="166" fontId="32" fillId="0" borderId="3" xfId="0" applyNumberFormat="1" applyFont="1" applyBorder="1" applyAlignment="1">
      <alignment horizontal="justify"/>
    </xf>
    <xf numFmtId="166" fontId="41" fillId="0" borderId="13" xfId="0" applyNumberFormat="1" applyFont="1" applyBorder="1" applyAlignment="1">
      <alignment horizontal="justify"/>
    </xf>
    <xf numFmtId="166" fontId="41" fillId="0" borderId="15" xfId="0" applyNumberFormat="1" applyFont="1" applyBorder="1" applyAlignment="1">
      <alignment horizontal="justify"/>
    </xf>
    <xf numFmtId="0" fontId="32" fillId="0" borderId="5" xfId="0" applyFont="1" applyBorder="1" applyAlignment="1">
      <alignment wrapText="1"/>
    </xf>
    <xf numFmtId="166" fontId="46" fillId="0" borderId="13" xfId="0" applyNumberFormat="1" applyFont="1" applyBorder="1" applyAlignment="1">
      <alignment horizontal="justify"/>
    </xf>
    <xf numFmtId="166" fontId="38" fillId="0" borderId="7" xfId="0" applyNumberFormat="1" applyFont="1" applyBorder="1" applyAlignment="1">
      <alignment horizontal="justify"/>
    </xf>
    <xf numFmtId="0" fontId="32" fillId="0" borderId="9" xfId="0" applyFont="1" applyBorder="1" applyAlignment="1">
      <alignment wrapText="1"/>
    </xf>
    <xf numFmtId="0" fontId="30" fillId="6" borderId="27" xfId="0" applyFont="1" applyFill="1" applyBorder="1"/>
    <xf numFmtId="166" fontId="40" fillId="0" borderId="28" xfId="67" applyNumberFormat="1" applyFont="1" applyFill="1" applyBorder="1" applyProtection="1"/>
    <xf numFmtId="166" fontId="38" fillId="0" borderId="28" xfId="0" applyNumberFormat="1" applyFont="1" applyBorder="1" applyAlignment="1">
      <alignment horizontal="justify"/>
    </xf>
    <xf numFmtId="0" fontId="32" fillId="16" borderId="26" xfId="0" applyFont="1" applyFill="1" applyBorder="1" applyAlignment="1">
      <alignment horizontal="center"/>
    </xf>
    <xf numFmtId="168" fontId="34" fillId="16" borderId="13" xfId="0" applyNumberFormat="1" applyFont="1" applyFill="1" applyBorder="1" applyAlignment="1">
      <alignment wrapText="1"/>
    </xf>
    <xf numFmtId="168" fontId="33" fillId="16" borderId="13" xfId="0" applyNumberFormat="1" applyFont="1" applyFill="1" applyBorder="1" applyAlignment="1">
      <alignment wrapText="1"/>
    </xf>
    <xf numFmtId="164" fontId="34" fillId="16" borderId="13" xfId="0" applyNumberFormat="1" applyFont="1" applyFill="1" applyBorder="1" applyAlignment="1">
      <alignment wrapText="1"/>
    </xf>
    <xf numFmtId="165" fontId="34" fillId="16" borderId="13" xfId="0" applyNumberFormat="1" applyFont="1" applyFill="1" applyBorder="1" applyAlignment="1">
      <alignment wrapText="1"/>
    </xf>
    <xf numFmtId="165" fontId="34" fillId="16" borderId="15" xfId="0" applyNumberFormat="1" applyFont="1" applyFill="1" applyBorder="1" applyAlignment="1">
      <alignment wrapText="1"/>
    </xf>
    <xf numFmtId="165" fontId="33" fillId="16" borderId="15" xfId="0" applyNumberFormat="1" applyFont="1" applyFill="1" applyBorder="1" applyAlignment="1">
      <alignment wrapText="1"/>
    </xf>
    <xf numFmtId="166" fontId="34" fillId="16" borderId="15" xfId="0" applyNumberFormat="1" applyFont="1" applyFill="1" applyBorder="1" applyAlignment="1">
      <alignment wrapText="1"/>
    </xf>
    <xf numFmtId="166" fontId="33" fillId="16" borderId="15" xfId="0" applyNumberFormat="1" applyFont="1" applyFill="1" applyBorder="1" applyAlignment="1">
      <alignment wrapText="1"/>
    </xf>
    <xf numFmtId="166" fontId="42" fillId="16" borderId="15" xfId="0" applyNumberFormat="1" applyFont="1" applyFill="1" applyBorder="1" applyAlignment="1">
      <alignment wrapText="1"/>
    </xf>
    <xf numFmtId="164" fontId="33" fillId="16" borderId="15" xfId="0" applyNumberFormat="1" applyFont="1" applyFill="1" applyBorder="1" applyAlignment="1">
      <alignment wrapText="1"/>
    </xf>
    <xf numFmtId="168" fontId="32" fillId="6" borderId="15" xfId="0" applyNumberFormat="1" applyFont="1" applyFill="1" applyBorder="1" applyAlignment="1">
      <alignment horizontal="right"/>
    </xf>
    <xf numFmtId="168" fontId="30" fillId="0" borderId="15" xfId="0" applyNumberFormat="1" applyFont="1" applyBorder="1" applyAlignment="1">
      <alignment horizontal="right"/>
    </xf>
    <xf numFmtId="168" fontId="32" fillId="0" borderId="15" xfId="0" applyNumberFormat="1" applyFont="1" applyBorder="1" applyAlignment="1">
      <alignment horizontal="right"/>
    </xf>
    <xf numFmtId="169" fontId="32" fillId="0" borderId="15" xfId="0" applyNumberFormat="1" applyFont="1" applyBorder="1" applyAlignment="1">
      <alignment horizontal="right"/>
    </xf>
    <xf numFmtId="169" fontId="30" fillId="0" borderId="15" xfId="0" applyNumberFormat="1" applyFont="1" applyBorder="1" applyAlignment="1">
      <alignment horizontal="right"/>
    </xf>
    <xf numFmtId="169" fontId="32" fillId="6" borderId="15" xfId="0" applyNumberFormat="1" applyFont="1" applyFill="1" applyBorder="1" applyAlignment="1">
      <alignment horizontal="right"/>
    </xf>
    <xf numFmtId="165" fontId="32" fillId="0" borderId="15" xfId="0" applyNumberFormat="1" applyFont="1" applyBorder="1" applyAlignment="1">
      <alignment horizontal="right"/>
    </xf>
    <xf numFmtId="165" fontId="30" fillId="0" borderId="15" xfId="0" applyNumberFormat="1" applyFont="1" applyBorder="1" applyAlignment="1">
      <alignment horizontal="right"/>
    </xf>
    <xf numFmtId="166" fontId="32" fillId="0" borderId="15" xfId="0" applyNumberFormat="1" applyFont="1" applyBorder="1" applyAlignment="1">
      <alignment horizontal="right"/>
    </xf>
    <xf numFmtId="168" fontId="32" fillId="6" borderId="13" xfId="0" applyNumberFormat="1" applyFont="1" applyFill="1" applyBorder="1" applyAlignment="1">
      <alignment horizontal="right"/>
    </xf>
    <xf numFmtId="168" fontId="30" fillId="0" borderId="13" xfId="0" applyNumberFormat="1" applyFont="1" applyBorder="1" applyAlignment="1">
      <alignment horizontal="right"/>
    </xf>
    <xf numFmtId="168" fontId="32" fillId="0" borderId="13" xfId="0" applyNumberFormat="1" applyFont="1" applyBorder="1" applyAlignment="1">
      <alignment horizontal="right"/>
    </xf>
    <xf numFmtId="169" fontId="32" fillId="0" borderId="13" xfId="0" applyNumberFormat="1" applyFont="1" applyBorder="1" applyAlignment="1">
      <alignment horizontal="right"/>
    </xf>
    <xf numFmtId="169" fontId="30" fillId="0" borderId="13" xfId="0" applyNumberFormat="1" applyFont="1" applyBorder="1" applyAlignment="1">
      <alignment horizontal="right"/>
    </xf>
    <xf numFmtId="169" fontId="32" fillId="6" borderId="13" xfId="0" applyNumberFormat="1" applyFont="1" applyFill="1" applyBorder="1" applyAlignment="1">
      <alignment horizontal="right"/>
    </xf>
    <xf numFmtId="165" fontId="32" fillId="0" borderId="13" xfId="0" applyNumberFormat="1" applyFont="1" applyBorder="1" applyAlignment="1">
      <alignment horizontal="right"/>
    </xf>
    <xf numFmtId="165" fontId="30" fillId="0" borderId="13" xfId="0" applyNumberFormat="1" applyFont="1" applyBorder="1" applyAlignment="1">
      <alignment horizontal="right"/>
    </xf>
    <xf numFmtId="166" fontId="32" fillId="0" borderId="13" xfId="0" applyNumberFormat="1" applyFont="1" applyBorder="1" applyAlignment="1">
      <alignment horizontal="right"/>
    </xf>
    <xf numFmtId="168" fontId="32" fillId="6" borderId="13" xfId="0" applyNumberFormat="1" applyFont="1" applyFill="1" applyBorder="1" applyAlignment="1">
      <alignment horizontal="right" wrapText="1"/>
    </xf>
    <xf numFmtId="168" fontId="30" fillId="6" borderId="13" xfId="0" applyNumberFormat="1" applyFont="1" applyFill="1" applyBorder="1" applyAlignment="1">
      <alignment horizontal="right" wrapText="1"/>
    </xf>
    <xf numFmtId="165" fontId="33" fillId="16" borderId="13" xfId="0" applyNumberFormat="1" applyFont="1" applyFill="1" applyBorder="1" applyAlignment="1">
      <alignment wrapText="1"/>
    </xf>
    <xf numFmtId="166" fontId="34" fillId="16" borderId="13" xfId="0" applyNumberFormat="1" applyFont="1" applyFill="1" applyBorder="1" applyAlignment="1">
      <alignment wrapText="1"/>
    </xf>
    <xf numFmtId="166" fontId="33" fillId="16" borderId="13" xfId="0" applyNumberFormat="1" applyFont="1" applyFill="1" applyBorder="1" applyAlignment="1">
      <alignment wrapText="1"/>
    </xf>
    <xf numFmtId="166" fontId="42" fillId="16" borderId="13" xfId="0" applyNumberFormat="1" applyFont="1" applyFill="1" applyBorder="1" applyAlignment="1">
      <alignment wrapText="1"/>
    </xf>
    <xf numFmtId="0" fontId="30" fillId="6" borderId="37" xfId="0" applyFont="1" applyFill="1" applyBorder="1"/>
    <xf numFmtId="168" fontId="32" fillId="0" borderId="7" xfId="0" applyNumberFormat="1" applyFont="1" applyBorder="1" applyAlignment="1">
      <alignment horizontal="right" wrapText="1"/>
    </xf>
    <xf numFmtId="168" fontId="30" fillId="0" borderId="7" xfId="0" applyNumberFormat="1" applyFont="1" applyBorder="1" applyAlignment="1">
      <alignment horizontal="right" wrapText="1"/>
    </xf>
    <xf numFmtId="168" fontId="30" fillId="6" borderId="7" xfId="0" applyNumberFormat="1" applyFont="1" applyFill="1" applyBorder="1" applyAlignment="1">
      <alignment horizontal="right" wrapText="1"/>
    </xf>
    <xf numFmtId="165" fontId="32" fillId="0" borderId="7" xfId="0" applyNumberFormat="1" applyFont="1" applyBorder="1" applyAlignment="1">
      <alignment horizontal="right" wrapText="1"/>
    </xf>
    <xf numFmtId="165" fontId="30" fillId="0" borderId="7" xfId="0" applyNumberFormat="1" applyFont="1" applyBorder="1" applyAlignment="1">
      <alignment horizontal="right" wrapText="1"/>
    </xf>
    <xf numFmtId="166" fontId="32" fillId="0" borderId="7" xfId="0" applyNumberFormat="1" applyFont="1" applyBorder="1" applyAlignment="1">
      <alignment horizontal="right" wrapText="1"/>
    </xf>
    <xf numFmtId="166" fontId="30" fillId="0" borderId="7" xfId="0" applyNumberFormat="1" applyFont="1" applyBorder="1" applyAlignment="1">
      <alignment horizontal="justify" wrapText="1"/>
    </xf>
    <xf numFmtId="166" fontId="32" fillId="0" borderId="7" xfId="0" applyNumberFormat="1" applyFont="1" applyBorder="1" applyAlignment="1">
      <alignment horizontal="justify" wrapText="1"/>
    </xf>
    <xf numFmtId="166" fontId="38" fillId="0" borderId="7" xfId="0" applyNumberFormat="1" applyFont="1" applyBorder="1" applyAlignment="1">
      <alignment horizontal="justify" wrapText="1"/>
    </xf>
    <xf numFmtId="168" fontId="32" fillId="0" borderId="15" xfId="0" applyNumberFormat="1" applyFont="1" applyBorder="1" applyAlignment="1">
      <alignment horizontal="right" wrapText="1"/>
    </xf>
    <xf numFmtId="168" fontId="30" fillId="0" borderId="15" xfId="0" applyNumberFormat="1" applyFont="1" applyBorder="1" applyAlignment="1">
      <alignment horizontal="right" wrapText="1"/>
    </xf>
    <xf numFmtId="168" fontId="30" fillId="6" borderId="15" xfId="0" applyNumberFormat="1" applyFont="1" applyFill="1" applyBorder="1" applyAlignment="1">
      <alignment horizontal="right" wrapText="1"/>
    </xf>
    <xf numFmtId="166" fontId="50" fillId="0" borderId="7" xfId="68" applyNumberFormat="1" applyFont="1" applyFill="1" applyBorder="1" applyAlignment="1" applyProtection="1">
      <alignment horizontal="right" wrapText="1"/>
    </xf>
    <xf numFmtId="49" fontId="32" fillId="6" borderId="25" xfId="0" applyNumberFormat="1" applyFont="1" applyFill="1" applyBorder="1" applyAlignment="1">
      <alignment wrapText="1"/>
    </xf>
    <xf numFmtId="165" fontId="30" fillId="18" borderId="13" xfId="0" applyNumberFormat="1" applyFont="1" applyFill="1" applyBorder="1" applyAlignment="1">
      <alignment horizontal="right" wrapText="1"/>
    </xf>
    <xf numFmtId="166" fontId="49" fillId="0" borderId="13" xfId="68" applyNumberFormat="1" applyFont="1" applyFill="1" applyBorder="1" applyAlignment="1" applyProtection="1">
      <alignment horizontal="right" wrapText="1"/>
    </xf>
    <xf numFmtId="2" fontId="30" fillId="0" borderId="0" xfId="0" applyNumberFormat="1" applyFont="1"/>
    <xf numFmtId="165" fontId="30" fillId="18" borderId="13" xfId="0" applyNumberFormat="1" applyFont="1" applyFill="1" applyBorder="1" applyAlignment="1">
      <alignment horizontal="right"/>
    </xf>
    <xf numFmtId="166" fontId="46" fillId="15" borderId="13" xfId="0" applyNumberFormat="1" applyFont="1" applyFill="1" applyBorder="1" applyAlignment="1">
      <alignment horizontal="justify"/>
    </xf>
    <xf numFmtId="164" fontId="32" fillId="0" borderId="13" xfId="0" applyNumberFormat="1" applyFont="1" applyBorder="1" applyAlignment="1">
      <alignment wrapText="1"/>
    </xf>
    <xf numFmtId="164" fontId="30" fillId="0" borderId="13" xfId="0" applyNumberFormat="1" applyFont="1" applyBorder="1" applyAlignment="1">
      <alignment wrapText="1"/>
    </xf>
    <xf numFmtId="164" fontId="32" fillId="6" borderId="13" xfId="0" applyNumberFormat="1" applyFont="1" applyFill="1" applyBorder="1" applyAlignment="1">
      <alignment wrapText="1"/>
    </xf>
    <xf numFmtId="164" fontId="34" fillId="16" borderId="15" xfId="0" applyNumberFormat="1" applyFont="1" applyFill="1" applyBorder="1" applyAlignment="1">
      <alignment wrapText="1"/>
    </xf>
    <xf numFmtId="164" fontId="30" fillId="6" borderId="12" xfId="0" applyNumberFormat="1" applyFont="1" applyFill="1" applyBorder="1"/>
    <xf numFmtId="164" fontId="32" fillId="6" borderId="13" xfId="0" applyNumberFormat="1" applyFont="1" applyFill="1" applyBorder="1" applyAlignment="1">
      <alignment horizontal="right" wrapText="1"/>
    </xf>
    <xf numFmtId="164" fontId="30" fillId="6" borderId="13" xfId="0" applyNumberFormat="1" applyFont="1" applyFill="1" applyBorder="1" applyAlignment="1">
      <alignment horizontal="right" wrapText="1"/>
    </xf>
    <xf numFmtId="165" fontId="32" fillId="6" borderId="13" xfId="0" applyNumberFormat="1" applyFont="1" applyFill="1" applyBorder="1" applyAlignment="1">
      <alignment horizontal="right" wrapText="1"/>
    </xf>
    <xf numFmtId="165" fontId="30" fillId="6" borderId="13" xfId="0" applyNumberFormat="1" applyFont="1" applyFill="1" applyBorder="1" applyAlignment="1">
      <alignment horizontal="right" wrapText="1"/>
    </xf>
    <xf numFmtId="166" fontId="32" fillId="6" borderId="13" xfId="0" applyNumberFormat="1" applyFont="1" applyFill="1" applyBorder="1" applyAlignment="1">
      <alignment horizontal="right" wrapText="1"/>
    </xf>
    <xf numFmtId="168" fontId="52" fillId="17" borderId="13" xfId="0" applyNumberFormat="1" applyFont="1" applyFill="1" applyBorder="1" applyAlignment="1">
      <alignment wrapText="1"/>
    </xf>
    <xf numFmtId="168" fontId="37" fillId="17" borderId="13" xfId="0" applyNumberFormat="1" applyFont="1" applyFill="1" applyBorder="1" applyAlignment="1">
      <alignment wrapText="1"/>
    </xf>
    <xf numFmtId="164" fontId="52" fillId="17" borderId="13" xfId="0" applyNumberFormat="1" applyFont="1" applyFill="1" applyBorder="1" applyAlignment="1">
      <alignment wrapText="1"/>
    </xf>
    <xf numFmtId="165" fontId="52" fillId="17" borderId="13" xfId="0" applyNumberFormat="1" applyFont="1" applyFill="1" applyBorder="1" applyAlignment="1">
      <alignment wrapText="1"/>
    </xf>
    <xf numFmtId="165" fontId="37" fillId="17" borderId="13" xfId="0" applyNumberFormat="1" applyFont="1" applyFill="1" applyBorder="1" applyAlignment="1">
      <alignment wrapText="1"/>
    </xf>
    <xf numFmtId="166" fontId="52" fillId="17" borderId="13" xfId="0" applyNumberFormat="1" applyFont="1" applyFill="1" applyBorder="1" applyAlignment="1">
      <alignment wrapText="1"/>
    </xf>
    <xf numFmtId="166" fontId="37" fillId="17" borderId="13" xfId="0" applyNumberFormat="1" applyFont="1" applyFill="1" applyBorder="1" applyAlignment="1">
      <alignment wrapText="1"/>
    </xf>
    <xf numFmtId="166" fontId="53" fillId="17" borderId="13" xfId="0" applyNumberFormat="1" applyFont="1" applyFill="1" applyBorder="1" applyAlignment="1">
      <alignment wrapText="1"/>
    </xf>
    <xf numFmtId="168" fontId="35" fillId="14" borderId="13" xfId="0" applyNumberFormat="1" applyFont="1" applyFill="1" applyBorder="1"/>
    <xf numFmtId="168" fontId="36" fillId="14" borderId="13" xfId="0" applyNumberFormat="1" applyFont="1" applyFill="1" applyBorder="1"/>
    <xf numFmtId="169" fontId="35" fillId="14" borderId="13" xfId="0" applyNumberFormat="1" applyFont="1" applyFill="1" applyBorder="1"/>
    <xf numFmtId="169" fontId="36" fillId="14" borderId="7" xfId="0" applyNumberFormat="1" applyFont="1" applyFill="1" applyBorder="1"/>
    <xf numFmtId="169" fontId="35" fillId="14" borderId="7" xfId="0" applyNumberFormat="1" applyFont="1" applyFill="1" applyBorder="1"/>
    <xf numFmtId="165" fontId="35" fillId="14" borderId="7" xfId="0" applyNumberFormat="1" applyFont="1" applyFill="1" applyBorder="1"/>
    <xf numFmtId="165" fontId="36" fillId="14" borderId="7" xfId="0" applyNumberFormat="1" applyFont="1" applyFill="1" applyBorder="1"/>
    <xf numFmtId="166" fontId="35" fillId="14" borderId="7" xfId="0" applyNumberFormat="1" applyFont="1" applyFill="1" applyBorder="1"/>
    <xf numFmtId="166" fontId="36" fillId="14" borderId="7" xfId="0" applyNumberFormat="1" applyFont="1" applyFill="1" applyBorder="1" applyAlignment="1">
      <alignment horizontal="justify"/>
    </xf>
    <xf numFmtId="166" fontId="35" fillId="14" borderId="7" xfId="0" applyNumberFormat="1" applyFont="1" applyFill="1" applyBorder="1" applyAlignment="1">
      <alignment horizontal="justify"/>
    </xf>
    <xf numFmtId="166" fontId="2" fillId="14" borderId="7" xfId="0" applyNumberFormat="1" applyFont="1" applyFill="1" applyBorder="1" applyAlignment="1">
      <alignment horizontal="justify"/>
    </xf>
    <xf numFmtId="164" fontId="37" fillId="14" borderId="5" xfId="0" applyNumberFormat="1" applyFont="1" applyFill="1" applyBorder="1"/>
    <xf numFmtId="168" fontId="30" fillId="6" borderId="28" xfId="0" applyNumberFormat="1" applyFont="1" applyFill="1" applyBorder="1"/>
    <xf numFmtId="166" fontId="46" fillId="0" borderId="28" xfId="0" applyNumberFormat="1" applyFont="1" applyBorder="1"/>
    <xf numFmtId="166" fontId="32" fillId="0" borderId="28" xfId="0" applyNumberFormat="1" applyFont="1" applyBorder="1" applyAlignment="1">
      <alignment horizontal="justify"/>
    </xf>
    <xf numFmtId="166" fontId="32" fillId="0" borderId="7" xfId="0" applyNumberFormat="1" applyFont="1" applyBorder="1" applyAlignment="1">
      <alignment horizontal="justify"/>
    </xf>
    <xf numFmtId="166" fontId="32" fillId="0" borderId="14" xfId="0" applyNumberFormat="1" applyFont="1" applyBorder="1"/>
    <xf numFmtId="166" fontId="30" fillId="0" borderId="14" xfId="0" applyNumberFormat="1" applyFont="1" applyBorder="1" applyAlignment="1">
      <alignment horizontal="justify"/>
    </xf>
    <xf numFmtId="166" fontId="32" fillId="0" borderId="7" xfId="0" applyNumberFormat="1" applyFont="1" applyBorder="1"/>
    <xf numFmtId="168" fontId="32" fillId="0" borderId="14" xfId="0" applyNumberFormat="1" applyFont="1" applyBorder="1"/>
    <xf numFmtId="169" fontId="32" fillId="6" borderId="8" xfId="0" applyNumberFormat="1" applyFont="1" applyFill="1" applyBorder="1"/>
    <xf numFmtId="166" fontId="38" fillId="0" borderId="8" xfId="0" applyNumberFormat="1" applyFont="1" applyBorder="1"/>
    <xf numFmtId="168" fontId="32" fillId="0" borderId="7" xfId="0" applyNumberFormat="1" applyFont="1" applyBorder="1"/>
    <xf numFmtId="168" fontId="32" fillId="6" borderId="15" xfId="0" applyNumberFormat="1" applyFont="1" applyFill="1" applyBorder="1" applyAlignment="1">
      <alignment horizontal="right" wrapText="1"/>
    </xf>
    <xf numFmtId="164" fontId="32" fillId="0" borderId="15" xfId="0" applyNumberFormat="1" applyFont="1" applyBorder="1" applyAlignment="1">
      <alignment horizontal="right" wrapText="1"/>
    </xf>
    <xf numFmtId="165" fontId="32" fillId="0" borderId="15" xfId="0" applyNumberFormat="1" applyFont="1" applyBorder="1" applyAlignment="1">
      <alignment horizontal="right" wrapText="1"/>
    </xf>
    <xf numFmtId="165" fontId="30" fillId="0" borderId="15" xfId="0" applyNumberFormat="1" applyFont="1" applyBorder="1" applyAlignment="1">
      <alignment horizontal="right" wrapText="1"/>
    </xf>
    <xf numFmtId="166" fontId="32" fillId="0" borderId="15" xfId="0" applyNumberFormat="1" applyFont="1" applyBorder="1" applyAlignment="1">
      <alignment horizontal="right" wrapText="1"/>
    </xf>
    <xf numFmtId="166" fontId="49" fillId="0" borderId="15" xfId="68" applyNumberFormat="1" applyFont="1" applyFill="1" applyBorder="1" applyAlignment="1" applyProtection="1">
      <alignment horizontal="right" wrapText="1"/>
    </xf>
    <xf numFmtId="166" fontId="50" fillId="0" borderId="15" xfId="68" applyNumberFormat="1" applyFont="1" applyFill="1" applyBorder="1" applyAlignment="1" applyProtection="1">
      <alignment horizontal="right" wrapText="1"/>
    </xf>
    <xf numFmtId="166" fontId="38" fillId="0" borderId="13" xfId="0" applyNumberFormat="1" applyFont="1" applyBorder="1" applyAlignment="1">
      <alignment horizontal="right"/>
    </xf>
    <xf numFmtId="166" fontId="37" fillId="17" borderId="13" xfId="0" applyNumberFormat="1" applyFont="1" applyFill="1" applyBorder="1" applyAlignment="1">
      <alignment horizontal="justify" wrapText="1"/>
    </xf>
    <xf numFmtId="174" fontId="35" fillId="14" borderId="13" xfId="0" applyNumberFormat="1" applyFont="1" applyFill="1" applyBorder="1" applyAlignment="1">
      <alignment wrapText="1"/>
    </xf>
    <xf numFmtId="174" fontId="36" fillId="14" borderId="13" xfId="0" applyNumberFormat="1" applyFont="1" applyFill="1" applyBorder="1" applyAlignment="1">
      <alignment wrapText="1"/>
    </xf>
    <xf numFmtId="0" fontId="35" fillId="6" borderId="24" xfId="0" applyFont="1" applyFill="1" applyBorder="1" applyAlignment="1">
      <alignment wrapText="1"/>
    </xf>
    <xf numFmtId="49" fontId="35" fillId="6" borderId="25" xfId="0" applyNumberFormat="1" applyFont="1" applyFill="1" applyBorder="1" applyAlignment="1">
      <alignment wrapText="1"/>
    </xf>
    <xf numFmtId="0" fontId="35" fillId="6" borderId="30" xfId="0" applyFont="1" applyFill="1" applyBorder="1"/>
    <xf numFmtId="168" fontId="35" fillId="6" borderId="14" xfId="0" applyNumberFormat="1" applyFont="1" applyFill="1" applyBorder="1" applyAlignment="1">
      <alignment wrapText="1"/>
    </xf>
    <xf numFmtId="168" fontId="36" fillId="6" borderId="14" xfId="0" applyNumberFormat="1" applyFont="1" applyFill="1" applyBorder="1" applyAlignment="1">
      <alignment wrapText="1"/>
    </xf>
    <xf numFmtId="174" fontId="35" fillId="6" borderId="14" xfId="0" applyNumberFormat="1" applyFont="1" applyFill="1" applyBorder="1" applyAlignment="1">
      <alignment wrapText="1"/>
    </xf>
    <xf numFmtId="174" fontId="36" fillId="6" borderId="14" xfId="0" applyNumberFormat="1" applyFont="1" applyFill="1" applyBorder="1" applyAlignment="1">
      <alignment wrapText="1"/>
    </xf>
    <xf numFmtId="165" fontId="35" fillId="6" borderId="14" xfId="0" applyNumberFormat="1" applyFont="1" applyFill="1" applyBorder="1" applyAlignment="1">
      <alignment wrapText="1"/>
    </xf>
    <xf numFmtId="165" fontId="36" fillId="6" borderId="14" xfId="0" applyNumberFormat="1" applyFont="1" applyFill="1" applyBorder="1" applyAlignment="1">
      <alignment wrapText="1"/>
    </xf>
    <xf numFmtId="166" fontId="35" fillId="6" borderId="14" xfId="0" applyNumberFormat="1" applyFont="1" applyFill="1" applyBorder="1" applyAlignment="1">
      <alignment wrapText="1"/>
    </xf>
    <xf numFmtId="166" fontId="36" fillId="6" borderId="14" xfId="0" applyNumberFormat="1" applyFont="1" applyFill="1" applyBorder="1" applyAlignment="1">
      <alignment horizontal="justify" wrapText="1"/>
    </xf>
    <xf numFmtId="166" fontId="35" fillId="6" borderId="14" xfId="0" applyNumberFormat="1" applyFont="1" applyFill="1" applyBorder="1" applyAlignment="1">
      <alignment horizontal="justify" wrapText="1"/>
    </xf>
    <xf numFmtId="166" fontId="2" fillId="6" borderId="14" xfId="0" applyNumberFormat="1" applyFont="1" applyFill="1" applyBorder="1" applyAlignment="1">
      <alignment horizontal="justify" wrapText="1"/>
    </xf>
    <xf numFmtId="164" fontId="32" fillId="0" borderId="15" xfId="0" applyNumberFormat="1" applyFont="1" applyBorder="1" applyAlignment="1">
      <alignment wrapText="1"/>
    </xf>
    <xf numFmtId="164" fontId="30" fillId="0" borderId="15" xfId="0" applyNumberFormat="1" applyFont="1" applyBorder="1" applyAlignment="1">
      <alignment wrapText="1"/>
    </xf>
    <xf numFmtId="164" fontId="32" fillId="6" borderId="15" xfId="0" applyNumberFormat="1" applyFont="1" applyFill="1" applyBorder="1" applyAlignment="1">
      <alignment wrapText="1"/>
    </xf>
    <xf numFmtId="165" fontId="32" fillId="6" borderId="15" xfId="0" applyNumberFormat="1" applyFont="1" applyFill="1" applyBorder="1" applyAlignment="1">
      <alignment wrapText="1"/>
    </xf>
    <xf numFmtId="165" fontId="30" fillId="6" borderId="15" xfId="0" applyNumberFormat="1" applyFont="1" applyFill="1" applyBorder="1" applyAlignment="1">
      <alignment wrapText="1"/>
    </xf>
    <xf numFmtId="166" fontId="38" fillId="0" borderId="15" xfId="0" applyNumberFormat="1" applyFont="1" applyBorder="1" applyAlignment="1">
      <alignment wrapText="1"/>
    </xf>
    <xf numFmtId="166" fontId="32" fillId="6" borderId="15" xfId="0" applyNumberFormat="1" applyFont="1" applyFill="1" applyBorder="1" applyAlignment="1">
      <alignment wrapText="1"/>
    </xf>
    <xf numFmtId="166" fontId="38" fillId="0" borderId="7" xfId="0" applyNumberFormat="1" applyFont="1" applyBorder="1" applyAlignment="1">
      <alignment wrapText="1"/>
    </xf>
    <xf numFmtId="168" fontId="34" fillId="16" borderId="13" xfId="0" applyNumberFormat="1" applyFont="1" applyFill="1" applyBorder="1" applyAlignment="1">
      <alignment horizontal="center" wrapText="1"/>
    </xf>
    <xf numFmtId="168" fontId="33" fillId="16" borderId="13" xfId="0" applyNumberFormat="1" applyFont="1" applyFill="1" applyBorder="1" applyAlignment="1">
      <alignment horizontal="center" wrapText="1"/>
    </xf>
    <xf numFmtId="164" fontId="34" fillId="16" borderId="13" xfId="0" applyNumberFormat="1" applyFont="1" applyFill="1" applyBorder="1" applyAlignment="1">
      <alignment horizontal="center" wrapText="1"/>
    </xf>
    <xf numFmtId="164" fontId="33" fillId="16" borderId="13" xfId="0" applyNumberFormat="1" applyFont="1" applyFill="1" applyBorder="1" applyAlignment="1">
      <alignment horizontal="center" wrapText="1"/>
    </xf>
    <xf numFmtId="165" fontId="34" fillId="16" borderId="13" xfId="0" applyNumberFormat="1" applyFont="1" applyFill="1" applyBorder="1" applyAlignment="1">
      <alignment horizontal="center" wrapText="1"/>
    </xf>
    <xf numFmtId="165" fontId="33" fillId="16" borderId="13" xfId="0" applyNumberFormat="1" applyFont="1" applyFill="1" applyBorder="1" applyAlignment="1">
      <alignment horizontal="center" wrapText="1"/>
    </xf>
    <xf numFmtId="166" fontId="34" fillId="16" borderId="13" xfId="0" applyNumberFormat="1" applyFont="1" applyFill="1" applyBorder="1" applyAlignment="1">
      <alignment horizontal="center" wrapText="1"/>
    </xf>
    <xf numFmtId="166" fontId="33" fillId="16" borderId="13" xfId="0" applyNumberFormat="1" applyFont="1" applyFill="1" applyBorder="1" applyAlignment="1">
      <alignment horizontal="justify" wrapText="1"/>
    </xf>
    <xf numFmtId="166" fontId="34" fillId="16" borderId="13" xfId="0" applyNumberFormat="1" applyFont="1" applyFill="1" applyBorder="1" applyAlignment="1">
      <alignment horizontal="justify" wrapText="1"/>
    </xf>
    <xf numFmtId="166" fontId="42" fillId="16" borderId="13" xfId="0" applyNumberFormat="1" applyFont="1" applyFill="1" applyBorder="1" applyAlignment="1">
      <alignment horizontal="justify" wrapText="1"/>
    </xf>
    <xf numFmtId="0" fontId="32" fillId="6" borderId="27" xfId="0" applyFont="1" applyFill="1" applyBorder="1" applyAlignment="1">
      <alignment wrapText="1"/>
    </xf>
    <xf numFmtId="166" fontId="38" fillId="0" borderId="3" xfId="0" applyNumberFormat="1" applyFont="1" applyBorder="1" applyAlignment="1">
      <alignment horizontal="justify"/>
    </xf>
    <xf numFmtId="166" fontId="32" fillId="0" borderId="32" xfId="0" applyNumberFormat="1" applyFont="1" applyBorder="1" applyAlignment="1">
      <alignment wrapText="1"/>
    </xf>
    <xf numFmtId="166" fontId="33" fillId="16" borderId="13" xfId="0" applyNumberFormat="1" applyFont="1" applyFill="1" applyBorder="1" applyAlignment="1">
      <alignment horizontal="center" wrapText="1"/>
    </xf>
    <xf numFmtId="166" fontId="42" fillId="16" borderId="13" xfId="0" applyNumberFormat="1" applyFont="1" applyFill="1" applyBorder="1" applyAlignment="1">
      <alignment horizontal="center" wrapText="1"/>
    </xf>
    <xf numFmtId="164" fontId="30" fillId="6" borderId="13" xfId="0" applyNumberFormat="1" applyFont="1" applyFill="1" applyBorder="1" applyAlignment="1">
      <alignment wrapText="1"/>
    </xf>
    <xf numFmtId="166" fontId="38" fillId="0" borderId="13" xfId="0" applyNumberFormat="1" applyFont="1" applyBorder="1" applyAlignment="1">
      <alignment horizontal="right" wrapText="1"/>
    </xf>
    <xf numFmtId="164" fontId="33" fillId="16" borderId="15" xfId="0" applyNumberFormat="1" applyFont="1" applyFill="1" applyBorder="1" applyAlignment="1">
      <alignment horizontal="center" wrapText="1"/>
    </xf>
    <xf numFmtId="0" fontId="32" fillId="6" borderId="12" xfId="0" applyFont="1" applyFill="1" applyBorder="1" applyAlignment="1">
      <alignment horizontal="center"/>
    </xf>
    <xf numFmtId="0" fontId="36" fillId="0" borderId="5" xfId="0" applyFont="1" applyBorder="1"/>
    <xf numFmtId="0" fontId="30" fillId="6" borderId="12" xfId="0" applyFont="1" applyFill="1" applyBorder="1" applyAlignment="1">
      <alignment horizontal="left"/>
    </xf>
    <xf numFmtId="0" fontId="30" fillId="0" borderId="12" xfId="0" applyFont="1" applyBorder="1" applyAlignment="1">
      <alignment horizontal="left"/>
    </xf>
    <xf numFmtId="168" fontId="52" fillId="17" borderId="13" xfId="0" applyNumberFormat="1" applyFont="1" applyFill="1" applyBorder="1" applyAlignment="1">
      <alignment horizontal="center" wrapText="1"/>
    </xf>
    <xf numFmtId="168" fontId="37" fillId="17" borderId="13" xfId="0" applyNumberFormat="1" applyFont="1" applyFill="1" applyBorder="1" applyAlignment="1">
      <alignment horizontal="center" wrapText="1"/>
    </xf>
    <xf numFmtId="164" fontId="52" fillId="17" borderId="13" xfId="0" applyNumberFormat="1" applyFont="1" applyFill="1" applyBorder="1" applyAlignment="1">
      <alignment horizontal="center" wrapText="1"/>
    </xf>
    <xf numFmtId="164" fontId="37" fillId="17" borderId="13" xfId="0" applyNumberFormat="1" applyFont="1" applyFill="1" applyBorder="1" applyAlignment="1">
      <alignment horizontal="center" wrapText="1"/>
    </xf>
    <xf numFmtId="165" fontId="52" fillId="17" borderId="13" xfId="0" applyNumberFormat="1" applyFont="1" applyFill="1" applyBorder="1" applyAlignment="1">
      <alignment horizontal="center" wrapText="1"/>
    </xf>
    <xf numFmtId="165" fontId="37" fillId="17" borderId="13" xfId="0" applyNumberFormat="1" applyFont="1" applyFill="1" applyBorder="1" applyAlignment="1">
      <alignment horizontal="center" wrapText="1"/>
    </xf>
    <xf numFmtId="166" fontId="52" fillId="17" borderId="13" xfId="0" applyNumberFormat="1" applyFont="1" applyFill="1" applyBorder="1" applyAlignment="1">
      <alignment horizontal="center" wrapText="1"/>
    </xf>
    <xf numFmtId="166" fontId="37" fillId="17" borderId="13" xfId="0" applyNumberFormat="1" applyFont="1" applyFill="1" applyBorder="1" applyAlignment="1">
      <alignment horizontal="center" wrapText="1"/>
    </xf>
    <xf numFmtId="166" fontId="53" fillId="17" borderId="13" xfId="0" applyNumberFormat="1" applyFont="1" applyFill="1" applyBorder="1" applyAlignment="1">
      <alignment horizontal="center" wrapText="1"/>
    </xf>
    <xf numFmtId="0" fontId="35" fillId="14" borderId="24" xfId="0" applyFont="1" applyFill="1" applyBorder="1" applyAlignment="1">
      <alignment horizontal="left" wrapText="1"/>
    </xf>
    <xf numFmtId="49" fontId="35" fillId="14" borderId="25" xfId="0" applyNumberFormat="1" applyFont="1" applyFill="1" applyBorder="1" applyAlignment="1">
      <alignment horizontal="left" wrapText="1"/>
    </xf>
    <xf numFmtId="168" fontId="36" fillId="14" borderId="13" xfId="0" applyNumberFormat="1" applyFont="1" applyFill="1" applyBorder="1" applyAlignment="1">
      <alignment horizontal="right" wrapText="1"/>
    </xf>
    <xf numFmtId="164" fontId="36" fillId="14" borderId="13" xfId="0" applyNumberFormat="1" applyFont="1" applyFill="1" applyBorder="1" applyAlignment="1">
      <alignment horizontal="right" wrapText="1"/>
    </xf>
    <xf numFmtId="165" fontId="36" fillId="14" borderId="13" xfId="0" applyNumberFormat="1" applyFont="1" applyFill="1" applyBorder="1" applyAlignment="1">
      <alignment horizontal="right" wrapText="1"/>
    </xf>
    <xf numFmtId="166" fontId="36" fillId="14" borderId="13" xfId="0" applyNumberFormat="1" applyFont="1" applyFill="1" applyBorder="1" applyAlignment="1">
      <alignment horizontal="right" wrapText="1"/>
    </xf>
    <xf numFmtId="0" fontId="32" fillId="6" borderId="21" xfId="0" applyFont="1" applyFill="1" applyBorder="1" applyAlignment="1">
      <alignment horizontal="left" wrapText="1"/>
    </xf>
    <xf numFmtId="0" fontId="32" fillId="6" borderId="4" xfId="0" applyFont="1" applyFill="1" applyBorder="1" applyAlignment="1">
      <alignment horizontal="left" wrapText="1"/>
    </xf>
    <xf numFmtId="168" fontId="32" fillId="6" borderId="28" xfId="0" applyNumberFormat="1" applyFont="1" applyFill="1" applyBorder="1" applyAlignment="1">
      <alignment horizontal="right" wrapText="1"/>
    </xf>
    <xf numFmtId="168" fontId="30" fillId="0" borderId="28" xfId="0" applyNumberFormat="1" applyFont="1" applyBorder="1" applyAlignment="1">
      <alignment horizontal="right" wrapText="1"/>
    </xf>
    <xf numFmtId="168" fontId="32" fillId="0" borderId="28" xfId="0" applyNumberFormat="1" applyFont="1" applyBorder="1" applyAlignment="1">
      <alignment horizontal="right" wrapText="1"/>
    </xf>
    <xf numFmtId="164" fontId="32" fillId="0" borderId="28" xfId="0" applyNumberFormat="1" applyFont="1" applyBorder="1" applyAlignment="1">
      <alignment horizontal="right" wrapText="1"/>
    </xf>
    <xf numFmtId="165" fontId="30" fillId="0" borderId="28" xfId="0" applyNumberFormat="1" applyFont="1" applyBorder="1" applyAlignment="1">
      <alignment horizontal="right" wrapText="1"/>
    </xf>
    <xf numFmtId="166" fontId="30" fillId="0" borderId="28" xfId="0" applyNumberFormat="1" applyFont="1" applyBorder="1" applyAlignment="1">
      <alignment horizontal="right" wrapText="1"/>
    </xf>
    <xf numFmtId="0" fontId="32" fillId="6" borderId="24" xfId="0" applyFont="1" applyFill="1" applyBorder="1" applyAlignment="1">
      <alignment horizontal="left" wrapText="1"/>
    </xf>
    <xf numFmtId="49" fontId="32" fillId="6" borderId="25" xfId="0" applyNumberFormat="1" applyFont="1" applyFill="1" applyBorder="1" applyAlignment="1">
      <alignment horizontal="left" wrapText="1"/>
    </xf>
    <xf numFmtId="0" fontId="30" fillId="6" borderId="26" xfId="0" applyFont="1" applyFill="1" applyBorder="1" applyAlignment="1">
      <alignment horizontal="left"/>
    </xf>
    <xf numFmtId="166" fontId="38" fillId="0" borderId="15" xfId="0" applyNumberFormat="1" applyFont="1" applyBorder="1"/>
    <xf numFmtId="0" fontId="32" fillId="0" borderId="24" xfId="0" applyFont="1" applyBorder="1" applyAlignment="1">
      <alignment horizontal="left" wrapText="1"/>
    </xf>
    <xf numFmtId="49" fontId="32" fillId="0" borderId="25" xfId="0" applyNumberFormat="1" applyFont="1" applyBorder="1" applyAlignment="1">
      <alignment horizontal="left" wrapText="1"/>
    </xf>
    <xf numFmtId="165" fontId="32" fillId="0" borderId="28" xfId="0" applyNumberFormat="1" applyFont="1" applyBorder="1" applyAlignment="1">
      <alignment horizontal="right" wrapText="1"/>
    </xf>
    <xf numFmtId="166" fontId="32" fillId="0" borderId="28" xfId="0" applyNumberFormat="1" applyFont="1" applyBorder="1" applyAlignment="1">
      <alignment horizontal="right" wrapText="1"/>
    </xf>
    <xf numFmtId="166" fontId="38" fillId="0" borderId="15" xfId="0" applyNumberFormat="1" applyFont="1" applyBorder="1" applyAlignment="1">
      <alignment horizontal="right" wrapText="1"/>
    </xf>
    <xf numFmtId="166" fontId="41" fillId="0" borderId="7" xfId="67" applyNumberFormat="1" applyFont="1" applyFill="1" applyBorder="1" applyProtection="1"/>
    <xf numFmtId="168" fontId="32" fillId="6" borderId="28" xfId="0" applyNumberFormat="1" applyFont="1" applyFill="1" applyBorder="1"/>
    <xf numFmtId="164" fontId="30" fillId="0" borderId="15" xfId="0" applyNumberFormat="1" applyFont="1" applyBorder="1" applyAlignment="1">
      <alignment horizontal="right" wrapText="1"/>
    </xf>
    <xf numFmtId="49" fontId="32" fillId="6" borderId="4" xfId="0" applyNumberFormat="1" applyFont="1" applyFill="1" applyBorder="1" applyAlignment="1">
      <alignment horizontal="left" wrapText="1"/>
    </xf>
    <xf numFmtId="49" fontId="32" fillId="6" borderId="22" xfId="0" applyNumberFormat="1" applyFont="1" applyFill="1" applyBorder="1" applyAlignment="1">
      <alignment horizontal="left" wrapText="1"/>
    </xf>
    <xf numFmtId="0" fontId="32" fillId="0" borderId="28" xfId="0" applyFont="1" applyBorder="1" applyAlignment="1">
      <alignment wrapText="1"/>
    </xf>
    <xf numFmtId="166" fontId="38" fillId="6" borderId="15" xfId="0" applyNumberFormat="1" applyFont="1" applyFill="1" applyBorder="1"/>
    <xf numFmtId="0" fontId="32" fillId="6" borderId="21" xfId="0" applyFont="1" applyFill="1" applyBorder="1" applyAlignment="1">
      <alignment wrapText="1"/>
    </xf>
    <xf numFmtId="0" fontId="32" fillId="6" borderId="4" xfId="0" applyFont="1" applyFill="1" applyBorder="1" applyAlignment="1">
      <alignment wrapText="1"/>
    </xf>
    <xf numFmtId="49" fontId="32" fillId="6" borderId="4" xfId="0" applyNumberFormat="1" applyFont="1" applyFill="1" applyBorder="1" applyAlignment="1">
      <alignment wrapText="1"/>
    </xf>
    <xf numFmtId="49" fontId="32" fillId="6" borderId="22" xfId="0" applyNumberFormat="1" applyFont="1" applyFill="1" applyBorder="1" applyAlignment="1">
      <alignment wrapText="1"/>
    </xf>
    <xf numFmtId="168" fontId="30" fillId="6" borderId="28" xfId="0" applyNumberFormat="1" applyFont="1" applyFill="1" applyBorder="1" applyAlignment="1">
      <alignment horizontal="right" wrapText="1"/>
    </xf>
    <xf numFmtId="164" fontId="30" fillId="6" borderId="28" xfId="0" applyNumberFormat="1" applyFont="1" applyFill="1" applyBorder="1" applyAlignment="1">
      <alignment horizontal="right" wrapText="1"/>
    </xf>
    <xf numFmtId="165" fontId="30" fillId="6" borderId="28" xfId="0" applyNumberFormat="1" applyFont="1" applyFill="1" applyBorder="1" applyAlignment="1">
      <alignment horizontal="right" wrapText="1"/>
    </xf>
    <xf numFmtId="166" fontId="30" fillId="6" borderId="28" xfId="0" applyNumberFormat="1" applyFont="1" applyFill="1" applyBorder="1" applyAlignment="1">
      <alignment horizontal="right" wrapText="1"/>
    </xf>
    <xf numFmtId="167" fontId="30" fillId="6" borderId="26" xfId="0" applyNumberFormat="1" applyFont="1" applyFill="1" applyBorder="1" applyAlignment="1">
      <alignment horizontal="left"/>
    </xf>
    <xf numFmtId="164" fontId="30" fillId="6" borderId="12" xfId="0" applyNumberFormat="1" applyFont="1" applyFill="1" applyBorder="1" applyAlignment="1">
      <alignment horizontal="left"/>
    </xf>
    <xf numFmtId="166" fontId="38" fillId="6" borderId="13" xfId="0" applyNumberFormat="1" applyFont="1" applyFill="1" applyBorder="1" applyAlignment="1">
      <alignment horizontal="right" wrapText="1"/>
    </xf>
    <xf numFmtId="164" fontId="32" fillId="6" borderId="28" xfId="0" applyNumberFormat="1" applyFont="1" applyFill="1" applyBorder="1" applyAlignment="1">
      <alignment horizontal="right" wrapText="1"/>
    </xf>
    <xf numFmtId="165" fontId="32" fillId="6" borderId="28" xfId="0" applyNumberFormat="1" applyFont="1" applyFill="1" applyBorder="1" applyAlignment="1">
      <alignment horizontal="right" wrapText="1"/>
    </xf>
    <xf numFmtId="166" fontId="32" fillId="6" borderId="28" xfId="0" applyNumberFormat="1" applyFont="1" applyFill="1" applyBorder="1" applyAlignment="1">
      <alignment horizontal="right" wrapText="1"/>
    </xf>
    <xf numFmtId="166" fontId="38" fillId="6" borderId="28" xfId="0" applyNumberFormat="1" applyFont="1" applyFill="1" applyBorder="1" applyAlignment="1">
      <alignment horizontal="right" wrapText="1"/>
    </xf>
    <xf numFmtId="164" fontId="30" fillId="6" borderId="26" xfId="0" applyNumberFormat="1" applyFont="1" applyFill="1" applyBorder="1" applyAlignment="1">
      <alignment horizontal="left"/>
    </xf>
    <xf numFmtId="166" fontId="38" fillId="0" borderId="13" xfId="0" applyNumberFormat="1" applyFont="1" applyBorder="1" applyAlignment="1">
      <alignment wrapText="1"/>
    </xf>
    <xf numFmtId="166" fontId="38" fillId="6" borderId="13" xfId="0" applyNumberFormat="1" applyFont="1" applyFill="1" applyBorder="1" applyAlignment="1">
      <alignment wrapText="1"/>
    </xf>
    <xf numFmtId="164" fontId="32" fillId="6" borderId="27" xfId="0" applyNumberFormat="1" applyFont="1" applyFill="1" applyBorder="1" applyAlignment="1">
      <alignment horizontal="left"/>
    </xf>
    <xf numFmtId="164" fontId="32" fillId="6" borderId="28" xfId="0" applyNumberFormat="1" applyFont="1" applyFill="1" applyBorder="1" applyAlignment="1">
      <alignment wrapText="1"/>
    </xf>
    <xf numFmtId="164" fontId="30" fillId="6" borderId="28" xfId="0" applyNumberFormat="1" applyFont="1" applyFill="1" applyBorder="1" applyAlignment="1">
      <alignment wrapText="1"/>
    </xf>
    <xf numFmtId="166" fontId="38" fillId="6" borderId="28" xfId="0" applyNumberFormat="1" applyFont="1" applyFill="1" applyBorder="1" applyAlignment="1">
      <alignment wrapText="1"/>
    </xf>
    <xf numFmtId="0" fontId="32" fillId="6" borderId="12" xfId="0" applyFont="1" applyFill="1" applyBorder="1" applyAlignment="1">
      <alignment vertical="center"/>
    </xf>
    <xf numFmtId="168" fontId="32" fillId="6" borderId="13" xfId="0" applyNumberFormat="1" applyFont="1" applyFill="1" applyBorder="1" applyAlignment="1">
      <alignment vertical="center" wrapText="1"/>
    </xf>
    <xf numFmtId="168" fontId="30" fillId="6" borderId="13" xfId="0" applyNumberFormat="1" applyFont="1" applyFill="1" applyBorder="1" applyAlignment="1">
      <alignment vertical="center" wrapText="1"/>
    </xf>
    <xf numFmtId="164" fontId="32" fillId="6" borderId="13" xfId="0" applyNumberFormat="1" applyFont="1" applyFill="1" applyBorder="1" applyAlignment="1">
      <alignment vertical="center" wrapText="1"/>
    </xf>
    <xf numFmtId="164" fontId="30" fillId="6" borderId="13" xfId="0" applyNumberFormat="1" applyFont="1" applyFill="1" applyBorder="1" applyAlignment="1">
      <alignment vertical="center" wrapText="1"/>
    </xf>
    <xf numFmtId="165" fontId="32" fillId="6" borderId="13" xfId="0" applyNumberFormat="1" applyFont="1" applyFill="1" applyBorder="1" applyAlignment="1">
      <alignment vertical="center" wrapText="1"/>
    </xf>
    <xf numFmtId="165" fontId="30" fillId="6" borderId="13" xfId="0" applyNumberFormat="1" applyFont="1" applyFill="1" applyBorder="1" applyAlignment="1">
      <alignment vertical="center" wrapText="1"/>
    </xf>
    <xf numFmtId="166" fontId="32" fillId="6" borderId="13" xfId="0" applyNumberFormat="1" applyFont="1" applyFill="1" applyBorder="1" applyAlignment="1">
      <alignment vertical="center" wrapText="1"/>
    </xf>
    <xf numFmtId="166" fontId="38" fillId="6" borderId="13" xfId="0" applyNumberFormat="1" applyFont="1" applyFill="1" applyBorder="1" applyAlignment="1">
      <alignment vertical="center" wrapText="1"/>
    </xf>
    <xf numFmtId="167" fontId="32" fillId="6" borderId="27" xfId="0" applyNumberFormat="1" applyFont="1" applyFill="1" applyBorder="1" applyAlignment="1">
      <alignment horizontal="left"/>
    </xf>
    <xf numFmtId="167" fontId="30" fillId="6" borderId="26" xfId="0" applyNumberFormat="1" applyFont="1" applyFill="1" applyBorder="1" applyAlignment="1">
      <alignment horizontal="left" wrapText="1"/>
    </xf>
    <xf numFmtId="167" fontId="30" fillId="6" borderId="12" xfId="0" applyNumberFormat="1" applyFont="1" applyFill="1" applyBorder="1"/>
    <xf numFmtId="167" fontId="30" fillId="6" borderId="12" xfId="0" applyNumberFormat="1" applyFont="1" applyFill="1" applyBorder="1" applyAlignment="1">
      <alignment horizontal="left"/>
    </xf>
    <xf numFmtId="168" fontId="34" fillId="16" borderId="13" xfId="0" applyNumberFormat="1" applyFont="1" applyFill="1" applyBorder="1" applyAlignment="1">
      <alignment horizontal="right" wrapText="1"/>
    </xf>
    <xf numFmtId="168" fontId="33" fillId="16" borderId="13" xfId="0" applyNumberFormat="1" applyFont="1" applyFill="1" applyBorder="1" applyAlignment="1">
      <alignment horizontal="right" wrapText="1"/>
    </xf>
    <xf numFmtId="164" fontId="34" fillId="16" borderId="13" xfId="0" applyNumberFormat="1" applyFont="1" applyFill="1" applyBorder="1" applyAlignment="1">
      <alignment horizontal="right" wrapText="1"/>
    </xf>
    <xf numFmtId="165" fontId="34" fillId="16" borderId="13" xfId="0" applyNumberFormat="1" applyFont="1" applyFill="1" applyBorder="1" applyAlignment="1">
      <alignment horizontal="right" wrapText="1"/>
    </xf>
    <xf numFmtId="165" fontId="33" fillId="16" borderId="13" xfId="0" applyNumberFormat="1" applyFont="1" applyFill="1" applyBorder="1" applyAlignment="1">
      <alignment horizontal="right" wrapText="1"/>
    </xf>
    <xf numFmtId="166" fontId="34" fillId="16" borderId="13" xfId="0" applyNumberFormat="1" applyFont="1" applyFill="1" applyBorder="1" applyAlignment="1">
      <alignment horizontal="right" wrapText="1"/>
    </xf>
    <xf numFmtId="166" fontId="42" fillId="16" borderId="13" xfId="0" applyNumberFormat="1" applyFont="1" applyFill="1" applyBorder="1" applyAlignment="1">
      <alignment horizontal="right" wrapText="1"/>
    </xf>
    <xf numFmtId="167" fontId="30" fillId="6" borderId="26" xfId="0" applyNumberFormat="1" applyFont="1" applyFill="1" applyBorder="1"/>
    <xf numFmtId="168" fontId="34" fillId="0" borderId="13" xfId="0" applyNumberFormat="1" applyFont="1" applyBorder="1" applyAlignment="1">
      <alignment horizontal="center" wrapText="1"/>
    </xf>
    <xf numFmtId="168" fontId="33" fillId="0" borderId="13" xfId="0" applyNumberFormat="1" applyFont="1" applyBorder="1" applyAlignment="1">
      <alignment horizontal="center" wrapText="1"/>
    </xf>
    <xf numFmtId="164" fontId="34" fillId="0" borderId="13" xfId="0" applyNumberFormat="1" applyFont="1" applyBorder="1" applyAlignment="1">
      <alignment horizontal="center" wrapText="1"/>
    </xf>
    <xf numFmtId="164" fontId="33" fillId="0" borderId="13" xfId="0" applyNumberFormat="1" applyFont="1" applyBorder="1" applyAlignment="1">
      <alignment horizontal="center" wrapText="1"/>
    </xf>
    <xf numFmtId="165" fontId="34" fillId="0" borderId="13" xfId="0" applyNumberFormat="1" applyFont="1" applyBorder="1" applyAlignment="1">
      <alignment horizontal="center" wrapText="1"/>
    </xf>
    <xf numFmtId="165" fontId="33" fillId="0" borderId="13" xfId="0" applyNumberFormat="1" applyFont="1" applyBorder="1" applyAlignment="1">
      <alignment horizontal="center" wrapText="1"/>
    </xf>
    <xf numFmtId="166" fontId="34" fillId="0" borderId="13" xfId="0" applyNumberFormat="1" applyFont="1" applyBorder="1" applyAlignment="1">
      <alignment horizontal="center" wrapText="1"/>
    </xf>
    <xf numFmtId="166" fontId="42" fillId="0" borderId="13" xfId="0" applyNumberFormat="1" applyFont="1" applyBorder="1" applyAlignment="1">
      <alignment horizontal="center" wrapText="1"/>
    </xf>
    <xf numFmtId="164" fontId="35" fillId="17" borderId="13" xfId="0" applyNumberFormat="1" applyFont="1" applyFill="1" applyBorder="1" applyAlignment="1">
      <alignment horizontal="right" wrapText="1"/>
    </xf>
    <xf numFmtId="164" fontId="36" fillId="17" borderId="13" xfId="0" applyNumberFormat="1" applyFont="1" applyFill="1" applyBorder="1" applyAlignment="1">
      <alignment horizontal="right" wrapText="1"/>
    </xf>
    <xf numFmtId="166" fontId="36" fillId="17" borderId="13" xfId="0" applyNumberFormat="1" applyFont="1" applyFill="1" applyBorder="1" applyAlignment="1">
      <alignment horizontal="justify" wrapText="1"/>
    </xf>
    <xf numFmtId="0" fontId="32" fillId="6" borderId="13" xfId="0" applyFont="1" applyFill="1" applyBorder="1"/>
    <xf numFmtId="0" fontId="30" fillId="6" borderId="13" xfId="0" applyFont="1" applyFill="1" applyBorder="1"/>
    <xf numFmtId="166" fontId="38" fillId="6" borderId="13" xfId="0" applyNumberFormat="1" applyFont="1" applyFill="1" applyBorder="1"/>
    <xf numFmtId="49" fontId="55" fillId="0" borderId="25" xfId="0" applyNumberFormat="1" applyFont="1" applyBorder="1" applyAlignment="1">
      <alignment wrapText="1"/>
    </xf>
    <xf numFmtId="168" fontId="52" fillId="17" borderId="13" xfId="0" applyNumberFormat="1" applyFont="1" applyFill="1" applyBorder="1" applyAlignment="1">
      <alignment horizontal="right" wrapText="1"/>
    </xf>
    <xf numFmtId="168" fontId="37" fillId="17" borderId="13" xfId="0" applyNumberFormat="1" applyFont="1" applyFill="1" applyBorder="1" applyAlignment="1">
      <alignment horizontal="right" wrapText="1"/>
    </xf>
    <xf numFmtId="164" fontId="52" fillId="17" borderId="13" xfId="0" applyNumberFormat="1" applyFont="1" applyFill="1" applyBorder="1" applyAlignment="1">
      <alignment horizontal="right" wrapText="1"/>
    </xf>
    <xf numFmtId="164" fontId="37" fillId="17" borderId="13" xfId="0" applyNumberFormat="1" applyFont="1" applyFill="1" applyBorder="1" applyAlignment="1">
      <alignment horizontal="right" wrapText="1"/>
    </xf>
    <xf numFmtId="165" fontId="52" fillId="17" borderId="13" xfId="0" applyNumberFormat="1" applyFont="1" applyFill="1" applyBorder="1" applyAlignment="1">
      <alignment horizontal="right" wrapText="1"/>
    </xf>
    <xf numFmtId="165" fontId="37" fillId="17" borderId="13" xfId="0" applyNumberFormat="1" applyFont="1" applyFill="1" applyBorder="1" applyAlignment="1">
      <alignment horizontal="right" wrapText="1"/>
    </xf>
    <xf numFmtId="166" fontId="52" fillId="17" borderId="13" xfId="0" applyNumberFormat="1" applyFont="1" applyFill="1" applyBorder="1" applyAlignment="1">
      <alignment horizontal="right" wrapText="1"/>
    </xf>
    <xf numFmtId="166" fontId="53" fillId="17" borderId="13" xfId="0" applyNumberFormat="1" applyFont="1" applyFill="1" applyBorder="1" applyAlignment="1">
      <alignment horizontal="right" wrapText="1"/>
    </xf>
    <xf numFmtId="0" fontId="35" fillId="14" borderId="13" xfId="0" applyFont="1" applyFill="1" applyBorder="1"/>
    <xf numFmtId="0" fontId="36" fillId="14" borderId="13" xfId="0" applyFont="1" applyFill="1" applyBorder="1"/>
    <xf numFmtId="165" fontId="35" fillId="14" borderId="13" xfId="0" applyNumberFormat="1" applyFont="1" applyFill="1" applyBorder="1"/>
    <xf numFmtId="165" fontId="36" fillId="14" borderId="13" xfId="0" applyNumberFormat="1" applyFont="1" applyFill="1" applyBorder="1"/>
    <xf numFmtId="166" fontId="35" fillId="14" borderId="13" xfId="0" applyNumberFormat="1" applyFont="1" applyFill="1" applyBorder="1"/>
    <xf numFmtId="166" fontId="36" fillId="14" borderId="13" xfId="0" applyNumberFormat="1" applyFont="1" applyFill="1" applyBorder="1" applyAlignment="1">
      <alignment horizontal="justify"/>
    </xf>
    <xf numFmtId="166" fontId="35" fillId="14" borderId="13" xfId="0" applyNumberFormat="1" applyFont="1" applyFill="1" applyBorder="1" applyAlignment="1">
      <alignment horizontal="justify"/>
    </xf>
    <xf numFmtId="166" fontId="2" fillId="14" borderId="13" xfId="0" applyNumberFormat="1" applyFont="1" applyFill="1" applyBorder="1" applyAlignment="1">
      <alignment horizontal="justify"/>
    </xf>
    <xf numFmtId="0" fontId="32" fillId="6" borderId="12" xfId="0" applyFont="1" applyFill="1" applyBorder="1" applyAlignment="1">
      <alignment horizontal="left"/>
    </xf>
    <xf numFmtId="168" fontId="35" fillId="14" borderId="13" xfId="0" applyNumberFormat="1" applyFont="1" applyFill="1" applyBorder="1" applyAlignment="1">
      <alignment horizontal="right" wrapText="1"/>
    </xf>
    <xf numFmtId="164" fontId="35" fillId="14" borderId="13" xfId="0" applyNumberFormat="1" applyFont="1" applyFill="1" applyBorder="1" applyAlignment="1">
      <alignment horizontal="right" wrapText="1"/>
    </xf>
    <xf numFmtId="165" fontId="35" fillId="14" borderId="13" xfId="0" applyNumberFormat="1" applyFont="1" applyFill="1" applyBorder="1" applyAlignment="1">
      <alignment horizontal="right" wrapText="1"/>
    </xf>
    <xf numFmtId="166" fontId="35" fillId="14" borderId="13" xfId="0" applyNumberFormat="1" applyFont="1" applyFill="1" applyBorder="1" applyAlignment="1">
      <alignment horizontal="right" wrapText="1"/>
    </xf>
    <xf numFmtId="166" fontId="52" fillId="17" borderId="13" xfId="0" applyNumberFormat="1" applyFont="1" applyFill="1" applyBorder="1" applyAlignment="1">
      <alignment horizontal="justify" wrapText="1"/>
    </xf>
    <xf numFmtId="166" fontId="53" fillId="17" borderId="13" xfId="0" applyNumberFormat="1" applyFont="1" applyFill="1" applyBorder="1" applyAlignment="1">
      <alignment horizontal="justify" wrapText="1"/>
    </xf>
    <xf numFmtId="0" fontId="35" fillId="14" borderId="12" xfId="0" applyFont="1" applyFill="1" applyBorder="1" applyAlignment="1">
      <alignment horizontal="center"/>
    </xf>
    <xf numFmtId="168" fontId="52" fillId="14" borderId="13" xfId="0" applyNumberFormat="1" applyFont="1" applyFill="1" applyBorder="1" applyAlignment="1">
      <alignment horizontal="center" wrapText="1"/>
    </xf>
    <xf numFmtId="168" fontId="37" fillId="14" borderId="13" xfId="0" applyNumberFormat="1" applyFont="1" applyFill="1" applyBorder="1" applyAlignment="1">
      <alignment horizontal="center" wrapText="1"/>
    </xf>
    <xf numFmtId="164" fontId="52" fillId="14" borderId="13" xfId="0" applyNumberFormat="1" applyFont="1" applyFill="1" applyBorder="1" applyAlignment="1">
      <alignment horizontal="center" wrapText="1"/>
    </xf>
    <xf numFmtId="164" fontId="37" fillId="14" borderId="13" xfId="0" applyNumberFormat="1" applyFont="1" applyFill="1" applyBorder="1" applyAlignment="1">
      <alignment horizontal="center" wrapText="1"/>
    </xf>
    <xf numFmtId="165" fontId="52" fillId="14" borderId="13" xfId="0" applyNumberFormat="1" applyFont="1" applyFill="1" applyBorder="1" applyAlignment="1">
      <alignment horizontal="center" wrapText="1"/>
    </xf>
    <xf numFmtId="165" fontId="37" fillId="14" borderId="13" xfId="0" applyNumberFormat="1" applyFont="1" applyFill="1" applyBorder="1" applyAlignment="1">
      <alignment horizontal="center" wrapText="1"/>
    </xf>
    <xf numFmtId="166" fontId="52" fillId="14" borderId="13" xfId="0" applyNumberFormat="1" applyFont="1" applyFill="1" applyBorder="1" applyAlignment="1">
      <alignment horizontal="center" wrapText="1"/>
    </xf>
    <xf numFmtId="166" fontId="37" fillId="14" borderId="13" xfId="0" applyNumberFormat="1" applyFont="1" applyFill="1" applyBorder="1" applyAlignment="1">
      <alignment horizontal="center" wrapText="1"/>
    </xf>
    <xf numFmtId="166" fontId="53" fillId="14" borderId="13" xfId="0" applyNumberFormat="1" applyFont="1" applyFill="1" applyBorder="1" applyAlignment="1">
      <alignment horizontal="center" wrapText="1"/>
    </xf>
    <xf numFmtId="166" fontId="53" fillId="14" borderId="20" xfId="0" applyNumberFormat="1" applyFont="1" applyFill="1" applyBorder="1" applyAlignment="1">
      <alignment horizontal="center" wrapText="1"/>
    </xf>
    <xf numFmtId="0" fontId="32" fillId="19" borderId="12" xfId="0" applyFont="1" applyFill="1" applyBorder="1" applyAlignment="1">
      <alignment horizontal="left"/>
    </xf>
    <xf numFmtId="168" fontId="34" fillId="19" borderId="13" xfId="0" applyNumberFormat="1" applyFont="1" applyFill="1" applyBorder="1" applyAlignment="1">
      <alignment horizontal="center" wrapText="1"/>
    </xf>
    <xf numFmtId="168" fontId="33" fillId="19" borderId="13" xfId="0" applyNumberFormat="1" applyFont="1" applyFill="1" applyBorder="1" applyAlignment="1">
      <alignment horizontal="center" wrapText="1"/>
    </xf>
    <xf numFmtId="164" fontId="34" fillId="19" borderId="13" xfId="0" applyNumberFormat="1" applyFont="1" applyFill="1" applyBorder="1" applyAlignment="1">
      <alignment horizontal="center" wrapText="1"/>
    </xf>
    <xf numFmtId="164" fontId="33" fillId="19" borderId="13" xfId="0" applyNumberFormat="1" applyFont="1" applyFill="1" applyBorder="1" applyAlignment="1">
      <alignment horizontal="center" wrapText="1"/>
    </xf>
    <xf numFmtId="165" fontId="34" fillId="19" borderId="13" xfId="0" applyNumberFormat="1" applyFont="1" applyFill="1" applyBorder="1" applyAlignment="1">
      <alignment horizontal="center" wrapText="1"/>
    </xf>
    <xf numFmtId="165" fontId="33" fillId="19" borderId="13" xfId="0" applyNumberFormat="1" applyFont="1" applyFill="1" applyBorder="1" applyAlignment="1">
      <alignment horizontal="center" wrapText="1"/>
    </xf>
    <xf numFmtId="166" fontId="34" fillId="19" borderId="13" xfId="0" applyNumberFormat="1" applyFont="1" applyFill="1" applyBorder="1" applyAlignment="1">
      <alignment horizontal="center" wrapText="1"/>
    </xf>
    <xf numFmtId="166" fontId="33" fillId="19" borderId="13" xfId="0" applyNumberFormat="1" applyFont="1" applyFill="1" applyBorder="1" applyAlignment="1">
      <alignment horizontal="center" wrapText="1"/>
    </xf>
    <xf numFmtId="166" fontId="42" fillId="19" borderId="13" xfId="0" applyNumberFormat="1" applyFont="1" applyFill="1" applyBorder="1" applyAlignment="1">
      <alignment horizontal="center" wrapText="1"/>
    </xf>
    <xf numFmtId="0" fontId="32" fillId="19" borderId="12" xfId="0" applyFont="1" applyFill="1" applyBorder="1" applyAlignment="1">
      <alignment horizontal="left" wrapText="1"/>
    </xf>
    <xf numFmtId="49" fontId="33" fillId="20" borderId="7" xfId="0" applyNumberFormat="1" applyFont="1" applyFill="1" applyBorder="1" applyAlignment="1">
      <alignment vertical="center"/>
    </xf>
    <xf numFmtId="168" fontId="33" fillId="19" borderId="13" xfId="1" applyNumberFormat="1" applyFont="1" applyFill="1" applyBorder="1" applyAlignment="1" applyProtection="1">
      <alignment horizontal="center" wrapText="1"/>
    </xf>
    <xf numFmtId="49" fontId="33" fillId="19" borderId="13" xfId="0" applyNumberFormat="1" applyFont="1" applyFill="1" applyBorder="1" applyAlignment="1">
      <alignment horizontal="center" wrapText="1"/>
    </xf>
    <xf numFmtId="0" fontId="32" fillId="0" borderId="38" xfId="0" applyFont="1" applyBorder="1" applyAlignment="1">
      <alignment wrapText="1"/>
    </xf>
    <xf numFmtId="0" fontId="32" fillId="0" borderId="39" xfId="0" applyFont="1" applyBorder="1" applyAlignment="1">
      <alignment wrapText="1"/>
    </xf>
    <xf numFmtId="49" fontId="32" fillId="0" borderId="39" xfId="0" applyNumberFormat="1" applyFont="1" applyBorder="1" applyAlignment="1">
      <alignment wrapText="1"/>
    </xf>
    <xf numFmtId="49" fontId="32" fillId="0" borderId="11" xfId="0" applyNumberFormat="1" applyFont="1" applyBorder="1" applyAlignment="1">
      <alignment wrapText="1"/>
    </xf>
    <xf numFmtId="166" fontId="30" fillId="0" borderId="20" xfId="0" applyNumberFormat="1" applyFont="1" applyBorder="1" applyAlignment="1">
      <alignment horizontal="justify"/>
    </xf>
    <xf numFmtId="169" fontId="27" fillId="0" borderId="0" xfId="0" applyNumberFormat="1" applyFont="1"/>
    <xf numFmtId="166" fontId="32" fillId="21" borderId="13" xfId="0" applyNumberFormat="1" applyFont="1" applyFill="1" applyBorder="1" applyAlignment="1">
      <alignment horizontal="justify"/>
    </xf>
    <xf numFmtId="166" fontId="40" fillId="21" borderId="13" xfId="67" applyNumberFormat="1" applyFont="1" applyFill="1" applyBorder="1" applyProtection="1"/>
    <xf numFmtId="166" fontId="40" fillId="23" borderId="13" xfId="67" applyNumberFormat="1" applyFont="1" applyFill="1" applyBorder="1" applyProtection="1"/>
    <xf numFmtId="166" fontId="40" fillId="22" borderId="13" xfId="67" applyNumberFormat="1" applyFont="1" applyFill="1" applyBorder="1" applyProtection="1"/>
    <xf numFmtId="166" fontId="36" fillId="14" borderId="5" xfId="0" applyNumberFormat="1" applyFont="1" applyFill="1" applyBorder="1" applyAlignment="1">
      <alignment horizontal="justify"/>
    </xf>
    <xf numFmtId="166" fontId="51" fillId="0" borderId="5" xfId="68" applyNumberFormat="1" applyFont="1" applyFill="1" applyBorder="1" applyAlignment="1" applyProtection="1">
      <alignment horizontal="right" wrapText="1"/>
    </xf>
    <xf numFmtId="166" fontId="30" fillId="0" borderId="5" xfId="0" applyNumberFormat="1" applyFont="1" applyBorder="1"/>
    <xf numFmtId="172" fontId="38" fillId="0" borderId="5" xfId="0" applyNumberFormat="1" applyFont="1" applyBorder="1"/>
    <xf numFmtId="49" fontId="32" fillId="16" borderId="0" xfId="0" applyNumberFormat="1" applyFont="1" applyFill="1" applyAlignment="1">
      <alignment wrapText="1"/>
    </xf>
    <xf numFmtId="49" fontId="32" fillId="0" borderId="0" xfId="0" applyNumberFormat="1" applyFont="1" applyAlignment="1">
      <alignment horizontal="left" wrapText="1"/>
    </xf>
    <xf numFmtId="0" fontId="35" fillId="17" borderId="0" xfId="0" applyFont="1" applyFill="1" applyAlignment="1">
      <alignment wrapText="1"/>
    </xf>
    <xf numFmtId="0" fontId="35" fillId="14" borderId="0" xfId="0" applyFont="1" applyFill="1" applyAlignment="1">
      <alignment horizontal="left" wrapText="1"/>
    </xf>
    <xf numFmtId="0" fontId="32" fillId="16" borderId="0" xfId="0" applyFont="1" applyFill="1" applyAlignment="1">
      <alignment wrapText="1"/>
    </xf>
    <xf numFmtId="49" fontId="35" fillId="17" borderId="0" xfId="0" applyNumberFormat="1" applyFont="1" applyFill="1" applyAlignment="1">
      <alignment wrapText="1"/>
    </xf>
    <xf numFmtId="0" fontId="35" fillId="14" borderId="0" xfId="0" applyFont="1" applyFill="1" applyAlignment="1">
      <alignment wrapText="1"/>
    </xf>
    <xf numFmtId="49" fontId="35" fillId="14" borderId="0" xfId="0" applyNumberFormat="1" applyFont="1" applyFill="1" applyAlignment="1">
      <alignment wrapText="1"/>
    </xf>
    <xf numFmtId="165" fontId="77" fillId="0" borderId="0" xfId="0" applyNumberFormat="1" applyFont="1"/>
    <xf numFmtId="0" fontId="32" fillId="6" borderId="0" xfId="0" applyFont="1" applyFill="1" applyAlignment="1">
      <alignment wrapText="1"/>
    </xf>
    <xf numFmtId="49" fontId="32" fillId="6" borderId="0" xfId="0" applyNumberFormat="1" applyFont="1" applyFill="1" applyAlignment="1">
      <alignment wrapText="1"/>
    </xf>
    <xf numFmtId="0" fontId="35" fillId="6" borderId="0" xfId="0" applyFont="1" applyFill="1" applyAlignment="1">
      <alignment wrapText="1"/>
    </xf>
    <xf numFmtId="49" fontId="32" fillId="6" borderId="0" xfId="0" applyNumberFormat="1" applyFont="1" applyFill="1" applyAlignment="1">
      <alignment horizontal="left" wrapText="1"/>
    </xf>
    <xf numFmtId="0" fontId="32" fillId="6" borderId="0" xfId="0" applyFont="1" applyFill="1" applyAlignment="1">
      <alignment horizontal="left" wrapText="1"/>
    </xf>
    <xf numFmtId="49" fontId="32" fillId="0" borderId="0" xfId="0" applyNumberFormat="1" applyFont="1"/>
    <xf numFmtId="0" fontId="32" fillId="0" borderId="0" xfId="0" applyFont="1" applyAlignment="1">
      <alignment horizontal="left" wrapText="1"/>
    </xf>
    <xf numFmtId="49" fontId="35" fillId="6" borderId="0" xfId="0" applyNumberFormat="1" applyFont="1" applyFill="1" applyAlignment="1">
      <alignment wrapText="1"/>
    </xf>
    <xf numFmtId="49" fontId="35" fillId="14" borderId="0" xfId="0" applyNumberFormat="1" applyFont="1" applyFill="1" applyAlignment="1">
      <alignment horizontal="left" wrapText="1"/>
    </xf>
    <xf numFmtId="4" fontId="46" fillId="0" borderId="0" xfId="0" applyNumberFormat="1" applyFont="1"/>
    <xf numFmtId="4" fontId="78" fillId="0" borderId="0" xfId="0" applyNumberFormat="1" applyFont="1"/>
    <xf numFmtId="164" fontId="34" fillId="6" borderId="16" xfId="0" applyNumberFormat="1" applyFont="1" applyFill="1" applyBorder="1" applyAlignment="1">
      <alignment horizontal="center" vertical="center" wrapText="1"/>
    </xf>
    <xf numFmtId="164" fontId="37" fillId="14" borderId="20" xfId="0" applyNumberFormat="1" applyFont="1" applyFill="1" applyBorder="1" applyAlignment="1">
      <alignment wrapText="1"/>
    </xf>
    <xf numFmtId="164" fontId="33" fillId="0" borderId="9" xfId="0" applyNumberFormat="1" applyFont="1" applyBorder="1" applyAlignment="1">
      <alignment wrapText="1"/>
    </xf>
    <xf numFmtId="164" fontId="33" fillId="0" borderId="16" xfId="0" applyNumberFormat="1" applyFont="1" applyBorder="1" applyAlignment="1">
      <alignment wrapText="1"/>
    </xf>
    <xf numFmtId="164" fontId="33" fillId="0" borderId="20" xfId="0" applyNumberFormat="1" applyFont="1" applyBorder="1" applyAlignment="1">
      <alignment wrapText="1"/>
    </xf>
    <xf numFmtId="164" fontId="41" fillId="0" borderId="20" xfId="67" applyNumberFormat="1" applyFont="1" applyFill="1" applyBorder="1" applyProtection="1"/>
    <xf numFmtId="164" fontId="33" fillId="16" borderId="20" xfId="0" applyNumberFormat="1" applyFont="1" applyFill="1" applyBorder="1" applyAlignment="1">
      <alignment wrapText="1"/>
    </xf>
    <xf numFmtId="164" fontId="33" fillId="0" borderId="29" xfId="0" applyNumberFormat="1" applyFont="1" applyBorder="1" applyAlignment="1">
      <alignment wrapText="1"/>
    </xf>
    <xf numFmtId="164" fontId="33" fillId="0" borderId="42" xfId="0" applyNumberFormat="1" applyFont="1" applyBorder="1" applyAlignment="1">
      <alignment horizontal="left" wrapText="1"/>
    </xf>
    <xf numFmtId="164" fontId="33" fillId="0" borderId="20" xfId="0" applyNumberFormat="1" applyFont="1" applyBorder="1" applyAlignment="1">
      <alignment horizontal="left" wrapText="1"/>
    </xf>
    <xf numFmtId="164" fontId="33" fillId="6" borderId="20" xfId="0" applyNumberFormat="1" applyFont="1" applyFill="1" applyBorder="1" applyAlignment="1">
      <alignment wrapText="1"/>
    </xf>
    <xf numFmtId="164" fontId="33" fillId="6" borderId="16" xfId="0" applyNumberFormat="1" applyFont="1" applyFill="1" applyBorder="1" applyAlignment="1">
      <alignment wrapText="1"/>
    </xf>
    <xf numFmtId="164" fontId="37" fillId="17" borderId="20" xfId="0" applyNumberFormat="1" applyFont="1" applyFill="1" applyBorder="1" applyAlignment="1">
      <alignment wrapText="1"/>
    </xf>
    <xf numFmtId="164" fontId="33" fillId="6" borderId="31" xfId="0" applyNumberFormat="1" applyFont="1" applyFill="1" applyBorder="1" applyAlignment="1">
      <alignment wrapText="1"/>
    </xf>
    <xf numFmtId="164" fontId="33" fillId="6" borderId="29" xfId="0" applyNumberFormat="1" applyFont="1" applyFill="1" applyBorder="1" applyAlignment="1">
      <alignment wrapText="1"/>
    </xf>
    <xf numFmtId="164" fontId="27" fillId="0" borderId="20" xfId="51" applyNumberFormat="1" applyBorder="1" applyProtection="1"/>
    <xf numFmtId="164" fontId="33" fillId="0" borderId="31" xfId="0" applyNumberFormat="1" applyFont="1" applyBorder="1" applyAlignment="1">
      <alignment wrapText="1"/>
    </xf>
    <xf numFmtId="164" fontId="33" fillId="16" borderId="20" xfId="0" applyNumberFormat="1" applyFont="1" applyFill="1" applyBorder="1" applyAlignment="1">
      <alignment horizontal="right" wrapText="1"/>
    </xf>
    <xf numFmtId="164" fontId="33" fillId="16" borderId="31" xfId="0" applyNumberFormat="1" applyFont="1" applyFill="1" applyBorder="1" applyAlignment="1">
      <alignment wrapText="1"/>
    </xf>
    <xf numFmtId="164" fontId="33" fillId="6" borderId="43" xfId="0" applyNumberFormat="1" applyFont="1" applyFill="1" applyBorder="1" applyAlignment="1">
      <alignment wrapText="1"/>
    </xf>
    <xf numFmtId="164" fontId="39" fillId="0" borderId="20" xfId="67" applyNumberFormat="1" applyFill="1" applyBorder="1" applyProtection="1"/>
    <xf numFmtId="164" fontId="45" fillId="0" borderId="20" xfId="67" applyNumberFormat="1" applyFont="1" applyFill="1" applyBorder="1" applyProtection="1"/>
    <xf numFmtId="164" fontId="33" fillId="0" borderId="20" xfId="0" applyNumberFormat="1" applyFont="1" applyBorder="1" applyAlignment="1">
      <alignment vertical="center" wrapText="1"/>
    </xf>
    <xf numFmtId="164" fontId="33" fillId="16" borderId="16" xfId="0" applyNumberFormat="1" applyFont="1" applyFill="1" applyBorder="1" applyAlignment="1">
      <alignment wrapText="1"/>
    </xf>
    <xf numFmtId="164" fontId="40" fillId="0" borderId="20" xfId="67" applyNumberFormat="1" applyFont="1" applyFill="1" applyBorder="1" applyProtection="1"/>
    <xf numFmtId="164" fontId="47" fillId="0" borderId="20" xfId="0" applyNumberFormat="1" applyFont="1" applyBorder="1" applyAlignment="1">
      <alignment wrapText="1"/>
    </xf>
    <xf numFmtId="164" fontId="33" fillId="6" borderId="5" xfId="0" applyNumberFormat="1" applyFont="1" applyFill="1" applyBorder="1" applyAlignment="1">
      <alignment wrapText="1"/>
    </xf>
    <xf numFmtId="164" fontId="33" fillId="6" borderId="43" xfId="0" applyNumberFormat="1" applyFont="1" applyFill="1" applyBorder="1" applyAlignment="1">
      <alignment vertical="center" wrapText="1"/>
    </xf>
    <xf numFmtId="164" fontId="54" fillId="6" borderId="5" xfId="0" applyNumberFormat="1" applyFont="1" applyFill="1" applyBorder="1" applyAlignment="1">
      <alignment vertical="center" wrapText="1"/>
    </xf>
    <xf numFmtId="164" fontId="30" fillId="0" borderId="33" xfId="0" applyNumberFormat="1" applyFont="1" applyBorder="1" applyAlignment="1">
      <alignment vertical="center" wrapText="1"/>
    </xf>
    <xf numFmtId="164" fontId="30" fillId="0" borderId="5" xfId="0" applyNumberFormat="1" applyFont="1" applyBorder="1" applyAlignment="1">
      <alignment vertical="center" wrapText="1"/>
    </xf>
    <xf numFmtId="164" fontId="30" fillId="0" borderId="9" xfId="0" applyNumberFormat="1" applyFont="1" applyBorder="1" applyAlignment="1">
      <alignment vertical="center" wrapText="1"/>
    </xf>
    <xf numFmtId="164" fontId="33" fillId="16" borderId="5" xfId="0" applyNumberFormat="1" applyFont="1" applyFill="1" applyBorder="1" applyAlignment="1">
      <alignment vertical="center" wrapText="1"/>
    </xf>
    <xf numFmtId="164" fontId="33" fillId="6" borderId="16" xfId="0" applyNumberFormat="1" applyFont="1" applyFill="1" applyBorder="1" applyAlignment="1">
      <alignment vertical="center" wrapText="1"/>
    </xf>
    <xf numFmtId="164" fontId="33" fillId="6" borderId="9" xfId="0" applyNumberFormat="1" applyFont="1" applyFill="1" applyBorder="1" applyAlignment="1">
      <alignment vertical="center" wrapText="1"/>
    </xf>
    <xf numFmtId="164" fontId="33" fillId="6" borderId="16" xfId="0" applyNumberFormat="1" applyFont="1" applyFill="1" applyBorder="1" applyAlignment="1">
      <alignment horizontal="center" vertical="center" wrapText="1"/>
    </xf>
    <xf numFmtId="164" fontId="51" fillId="0" borderId="16" xfId="68" applyNumberFormat="1" applyFont="1" applyFill="1" applyBorder="1" applyAlignment="1" applyProtection="1">
      <alignment wrapText="1"/>
    </xf>
    <xf numFmtId="164" fontId="37" fillId="6" borderId="31" xfId="0" applyNumberFormat="1" applyFont="1" applyFill="1" applyBorder="1" applyAlignment="1">
      <alignment wrapText="1"/>
    </xf>
    <xf numFmtId="164" fontId="33" fillId="0" borderId="5" xfId="0" applyNumberFormat="1" applyFont="1" applyBorder="1" applyAlignment="1">
      <alignment wrapText="1"/>
    </xf>
    <xf numFmtId="164" fontId="40" fillId="0" borderId="5" xfId="67" applyNumberFormat="1" applyFont="1" applyFill="1" applyBorder="1" applyProtection="1"/>
    <xf numFmtId="164" fontId="33" fillId="6" borderId="20" xfId="0" applyNumberFormat="1" applyFont="1" applyFill="1" applyBorder="1" applyAlignment="1">
      <alignment horizontal="left" wrapText="1"/>
    </xf>
    <xf numFmtId="166" fontId="34" fillId="19" borderId="20" xfId="0" applyNumberFormat="1" applyFont="1" applyFill="1" applyBorder="1" applyAlignment="1">
      <alignment horizontal="center" wrapText="1"/>
    </xf>
    <xf numFmtId="164" fontId="33" fillId="0" borderId="20" xfId="0" applyNumberFormat="1" applyFont="1" applyBorder="1"/>
    <xf numFmtId="165" fontId="30" fillId="0" borderId="5" xfId="0" applyNumberFormat="1" applyFont="1" applyBorder="1"/>
    <xf numFmtId="164" fontId="30" fillId="0" borderId="5" xfId="0" applyNumberFormat="1" applyFont="1" applyBorder="1"/>
    <xf numFmtId="173" fontId="30" fillId="0" borderId="5" xfId="0" applyNumberFormat="1" applyFont="1" applyBorder="1"/>
    <xf numFmtId="166" fontId="36" fillId="14" borderId="20" xfId="0" applyNumberFormat="1" applyFont="1" applyFill="1" applyBorder="1" applyAlignment="1">
      <alignment horizontal="justify" wrapText="1"/>
    </xf>
    <xf numFmtId="166" fontId="30" fillId="0" borderId="9" xfId="0" applyNumberFormat="1" applyFont="1" applyBorder="1" applyAlignment="1">
      <alignment horizontal="justify" wrapText="1"/>
    </xf>
    <xf numFmtId="166" fontId="30" fillId="0" borderId="16" xfId="0" applyNumberFormat="1" applyFont="1" applyBorder="1" applyAlignment="1">
      <alignment horizontal="justify"/>
    </xf>
    <xf numFmtId="166" fontId="30" fillId="0" borderId="20" xfId="0" applyNumberFormat="1" applyFont="1" applyBorder="1" applyAlignment="1">
      <alignment horizontal="justify" wrapText="1"/>
    </xf>
    <xf numFmtId="166" fontId="30" fillId="0" borderId="20" xfId="0" applyNumberFormat="1" applyFont="1" applyBorder="1"/>
    <xf numFmtId="166" fontId="30" fillId="16" borderId="20" xfId="0" applyNumberFormat="1" applyFont="1" applyFill="1" applyBorder="1" applyAlignment="1">
      <alignment horizontal="right" wrapText="1"/>
    </xf>
    <xf numFmtId="166" fontId="33" fillId="0" borderId="20" xfId="0" applyNumberFormat="1" applyFont="1" applyBorder="1" applyAlignment="1">
      <alignment horizontal="justify" wrapText="1"/>
    </xf>
    <xf numFmtId="166" fontId="30" fillId="0" borderId="29" xfId="0" applyNumberFormat="1" applyFont="1" applyBorder="1" applyAlignment="1">
      <alignment horizontal="justify" wrapText="1"/>
    </xf>
    <xf numFmtId="166" fontId="30" fillId="0" borderId="16" xfId="0" applyNumberFormat="1" applyFont="1" applyBorder="1" applyAlignment="1">
      <alignment horizontal="justify" wrapText="1"/>
    </xf>
    <xf numFmtId="166" fontId="30" fillId="6" borderId="31" xfId="0" applyNumberFormat="1" applyFont="1" applyFill="1" applyBorder="1" applyAlignment="1">
      <alignment horizontal="justify" wrapText="1"/>
    </xf>
    <xf numFmtId="166" fontId="30" fillId="6" borderId="29" xfId="0" applyNumberFormat="1" applyFont="1" applyFill="1" applyBorder="1" applyAlignment="1">
      <alignment horizontal="justify" wrapText="1"/>
    </xf>
    <xf numFmtId="166" fontId="30" fillId="6" borderId="20" xfId="0" applyNumberFormat="1" applyFont="1" applyFill="1" applyBorder="1" applyAlignment="1">
      <alignment horizontal="justify" wrapText="1"/>
    </xf>
    <xf numFmtId="166" fontId="30" fillId="16" borderId="20" xfId="0" applyNumberFormat="1" applyFont="1" applyFill="1" applyBorder="1" applyAlignment="1">
      <alignment horizontal="justify" wrapText="1"/>
    </xf>
    <xf numFmtId="166" fontId="30" fillId="0" borderId="31" xfId="0" applyNumberFormat="1" applyFont="1" applyBorder="1" applyAlignment="1">
      <alignment horizontal="justify" wrapText="1"/>
    </xf>
    <xf numFmtId="166" fontId="30" fillId="6" borderId="16" xfId="0" applyNumberFormat="1" applyFont="1" applyFill="1" applyBorder="1" applyAlignment="1">
      <alignment horizontal="justify"/>
    </xf>
    <xf numFmtId="166" fontId="30" fillId="16" borderId="31" xfId="0" applyNumberFormat="1" applyFont="1" applyFill="1" applyBorder="1" applyAlignment="1">
      <alignment horizontal="right" wrapText="1"/>
    </xf>
    <xf numFmtId="166" fontId="30" fillId="0" borderId="33" xfId="0" applyNumberFormat="1" applyFont="1" applyBorder="1" applyAlignment="1">
      <alignment horizontal="justify"/>
    </xf>
    <xf numFmtId="166" fontId="78" fillId="0" borderId="20" xfId="0" applyNumberFormat="1" applyFont="1" applyBorder="1" applyAlignment="1">
      <alignment horizontal="justify"/>
    </xf>
    <xf numFmtId="166" fontId="41" fillId="0" borderId="29" xfId="67" applyNumberFormat="1" applyFont="1" applyFill="1" applyBorder="1" applyProtection="1"/>
    <xf numFmtId="166" fontId="30" fillId="0" borderId="5" xfId="0" applyNumberFormat="1" applyFont="1" applyBorder="1" applyAlignment="1">
      <alignment horizontal="justify" wrapText="1"/>
    </xf>
    <xf numFmtId="166" fontId="30" fillId="0" borderId="9" xfId="0" applyNumberFormat="1" applyFont="1" applyBorder="1"/>
    <xf numFmtId="166" fontId="51" fillId="0" borderId="16" xfId="68" applyNumberFormat="1" applyFont="1" applyFill="1" applyBorder="1" applyAlignment="1" applyProtection="1">
      <alignment horizontal="right" wrapText="1"/>
    </xf>
    <xf numFmtId="166" fontId="30" fillId="0" borderId="20" xfId="0" applyNumberFormat="1" applyFont="1" applyBorder="1" applyAlignment="1">
      <alignment horizontal="right"/>
    </xf>
    <xf numFmtId="166" fontId="36" fillId="6" borderId="31" xfId="0" applyNumberFormat="1" applyFont="1" applyFill="1" applyBorder="1" applyAlignment="1">
      <alignment horizontal="justify" wrapText="1"/>
    </xf>
    <xf numFmtId="166" fontId="30" fillId="0" borderId="16" xfId="0" applyNumberFormat="1" applyFont="1" applyBorder="1" applyAlignment="1">
      <alignment wrapText="1"/>
    </xf>
    <xf numFmtId="166" fontId="30" fillId="0" borderId="5" xfId="0" applyNumberFormat="1" applyFont="1" applyBorder="1" applyAlignment="1">
      <alignment wrapText="1"/>
    </xf>
    <xf numFmtId="166" fontId="30" fillId="0" borderId="43" xfId="0" applyNumberFormat="1" applyFont="1" applyBorder="1" applyAlignment="1">
      <alignment wrapText="1"/>
    </xf>
    <xf numFmtId="166" fontId="30" fillId="0" borderId="20" xfId="0" applyNumberFormat="1" applyFont="1" applyBorder="1" applyAlignment="1">
      <alignment horizontal="right" wrapText="1"/>
    </xf>
    <xf numFmtId="166" fontId="37" fillId="17" borderId="20" xfId="0" applyNumberFormat="1" applyFont="1" applyFill="1" applyBorder="1" applyAlignment="1">
      <alignment horizontal="center" wrapText="1"/>
    </xf>
    <xf numFmtId="166" fontId="30" fillId="0" borderId="16" xfId="0" applyNumberFormat="1" applyFont="1" applyBorder="1"/>
    <xf numFmtId="166" fontId="30" fillId="0" borderId="16" xfId="0" applyNumberFormat="1" applyFont="1" applyBorder="1" applyAlignment="1">
      <alignment horizontal="right" wrapText="1"/>
    </xf>
    <xf numFmtId="166" fontId="41" fillId="0" borderId="5" xfId="67" applyNumberFormat="1" applyFont="1" applyFill="1" applyBorder="1" applyProtection="1"/>
    <xf numFmtId="166" fontId="30" fillId="0" borderId="29" xfId="0" applyNumberFormat="1" applyFont="1" applyBorder="1" applyAlignment="1">
      <alignment horizontal="justify"/>
    </xf>
    <xf numFmtId="166" fontId="30" fillId="6" borderId="20" xfId="0" applyNumberFormat="1" applyFont="1" applyFill="1" applyBorder="1" applyAlignment="1">
      <alignment horizontal="right" wrapText="1"/>
    </xf>
    <xf numFmtId="166" fontId="30" fillId="6" borderId="29" xfId="0" applyNumberFormat="1" applyFont="1" applyFill="1" applyBorder="1" applyAlignment="1">
      <alignment horizontal="right" wrapText="1"/>
    </xf>
    <xf numFmtId="166" fontId="30" fillId="6" borderId="20" xfId="0" applyNumberFormat="1" applyFont="1" applyFill="1" applyBorder="1" applyAlignment="1">
      <alignment wrapText="1"/>
    </xf>
    <xf numFmtId="166" fontId="30" fillId="6" borderId="29" xfId="0" applyNumberFormat="1" applyFont="1" applyFill="1" applyBorder="1" applyAlignment="1">
      <alignment wrapText="1"/>
    </xf>
    <xf numFmtId="166" fontId="30" fillId="6" borderId="20" xfId="0" applyNumberFormat="1" applyFont="1" applyFill="1" applyBorder="1" applyAlignment="1">
      <alignment vertical="center" wrapText="1"/>
    </xf>
    <xf numFmtId="166" fontId="33" fillId="0" borderId="20" xfId="0" applyNumberFormat="1" applyFont="1" applyBorder="1" applyAlignment="1">
      <alignment horizontal="center" wrapText="1"/>
    </xf>
    <xf numFmtId="166" fontId="30" fillId="6" borderId="20" xfId="0" applyNumberFormat="1" applyFont="1" applyFill="1" applyBorder="1" applyAlignment="1">
      <alignment horizontal="justify"/>
    </xf>
    <xf numFmtId="166" fontId="30" fillId="6" borderId="20" xfId="0" applyNumberFormat="1" applyFont="1" applyFill="1" applyBorder="1"/>
    <xf numFmtId="166" fontId="36" fillId="14" borderId="20" xfId="0" applyNumberFormat="1" applyFont="1" applyFill="1" applyBorder="1" applyAlignment="1">
      <alignment horizontal="justify"/>
    </xf>
    <xf numFmtId="166" fontId="37" fillId="17" borderId="20" xfId="0" applyNumberFormat="1" applyFont="1" applyFill="1" applyBorder="1" applyAlignment="1">
      <alignment horizontal="justify" wrapText="1"/>
    </xf>
    <xf numFmtId="166" fontId="42" fillId="19" borderId="20" xfId="0" applyNumberFormat="1" applyFont="1" applyFill="1" applyBorder="1" applyAlignment="1">
      <alignment horizontal="center" wrapText="1"/>
    </xf>
    <xf numFmtId="164" fontId="79" fillId="0" borderId="20" xfId="67" quotePrefix="1" applyNumberFormat="1" applyFont="1" applyFill="1" applyBorder="1" applyProtection="1"/>
    <xf numFmtId="0" fontId="35" fillId="14" borderId="5" xfId="0" applyFont="1" applyFill="1" applyBorder="1"/>
    <xf numFmtId="0" fontId="32" fillId="19" borderId="13" xfId="0" applyFont="1" applyFill="1" applyBorder="1" applyAlignment="1">
      <alignment horizontal="left"/>
    </xf>
    <xf numFmtId="166" fontId="35" fillId="14" borderId="5" xfId="0" applyNumberFormat="1" applyFont="1" applyFill="1" applyBorder="1" applyAlignment="1">
      <alignment wrapText="1"/>
    </xf>
    <xf numFmtId="166" fontId="35" fillId="14" borderId="7" xfId="0" applyNumberFormat="1" applyFont="1" applyFill="1" applyBorder="1" applyAlignment="1">
      <alignment wrapText="1"/>
    </xf>
    <xf numFmtId="177" fontId="35" fillId="14" borderId="7" xfId="0" applyNumberFormat="1" applyFont="1" applyFill="1" applyBorder="1" applyAlignment="1">
      <alignment wrapText="1"/>
    </xf>
    <xf numFmtId="177" fontId="32" fillId="19" borderId="13" xfId="0" applyNumberFormat="1" applyFont="1" applyFill="1" applyBorder="1" applyAlignment="1">
      <alignment horizontal="left"/>
    </xf>
    <xf numFmtId="0" fontId="35" fillId="14" borderId="20" xfId="0" applyFont="1" applyFill="1" applyBorder="1"/>
    <xf numFmtId="0" fontId="32" fillId="19" borderId="20" xfId="0" applyFont="1" applyFill="1" applyBorder="1" applyAlignment="1">
      <alignment horizontal="left"/>
    </xf>
    <xf numFmtId="177" fontId="35" fillId="14" borderId="5" xfId="0" applyNumberFormat="1" applyFont="1" applyFill="1" applyBorder="1" applyAlignment="1">
      <alignment wrapText="1"/>
    </xf>
    <xf numFmtId="177" fontId="32" fillId="19" borderId="20" xfId="0" applyNumberFormat="1" applyFont="1" applyFill="1" applyBorder="1" applyAlignment="1">
      <alignment horizontal="left"/>
    </xf>
    <xf numFmtId="0" fontId="35" fillId="14" borderId="16" xfId="0" applyFont="1" applyFill="1" applyBorder="1"/>
    <xf numFmtId="166" fontId="32" fillId="0" borderId="9" xfId="0" applyNumberFormat="1" applyFont="1" applyBorder="1"/>
    <xf numFmtId="0" fontId="38" fillId="0" borderId="9" xfId="0" applyFont="1" applyBorder="1"/>
    <xf numFmtId="177" fontId="38" fillId="0" borderId="5" xfId="0" applyNumberFormat="1" applyFont="1" applyBorder="1"/>
    <xf numFmtId="177" fontId="38" fillId="0" borderId="7" xfId="0" applyNumberFormat="1" applyFont="1" applyBorder="1"/>
    <xf numFmtId="0" fontId="38" fillId="0" borderId="0" xfId="0" applyFont="1"/>
    <xf numFmtId="169" fontId="38" fillId="0" borderId="0" xfId="0" applyNumberFormat="1" applyFont="1"/>
    <xf numFmtId="169" fontId="80" fillId="0" borderId="0" xfId="0" applyNumberFormat="1" applyFont="1"/>
    <xf numFmtId="1" fontId="30" fillId="0" borderId="5" xfId="0" applyNumberFormat="1" applyFont="1" applyBorder="1"/>
    <xf numFmtId="1" fontId="81" fillId="0" borderId="0" xfId="0" applyNumberFormat="1" applyFont="1"/>
    <xf numFmtId="0" fontId="31" fillId="33" borderId="2" xfId="0" applyFont="1" applyFill="1" applyBorder="1"/>
    <xf numFmtId="0" fontId="30" fillId="32" borderId="0" xfId="0" applyFont="1" applyFill="1" applyAlignment="1">
      <alignment horizontal="left" vertical="center" wrapText="1"/>
    </xf>
    <xf numFmtId="0" fontId="31" fillId="32" borderId="2" xfId="0" applyFont="1" applyFill="1" applyBorder="1" applyAlignment="1">
      <alignment horizontal="left" vertical="top" wrapText="1"/>
    </xf>
    <xf numFmtId="0" fontId="30" fillId="32" borderId="6" xfId="0" applyFont="1" applyFill="1" applyBorder="1" applyAlignment="1">
      <alignment vertical="center" wrapText="1"/>
    </xf>
    <xf numFmtId="166" fontId="35" fillId="14" borderId="6" xfId="0" applyNumberFormat="1" applyFont="1" applyFill="1" applyBorder="1" applyAlignment="1">
      <alignment wrapText="1"/>
    </xf>
    <xf numFmtId="49" fontId="35" fillId="14" borderId="5" xfId="0" applyNumberFormat="1" applyFont="1" applyFill="1" applyBorder="1" applyAlignment="1">
      <alignment horizontal="center" wrapText="1"/>
    </xf>
    <xf numFmtId="44" fontId="38" fillId="0" borderId="5" xfId="0" applyNumberFormat="1" applyFont="1" applyBorder="1"/>
    <xf numFmtId="44" fontId="38" fillId="0" borderId="7" xfId="0" applyNumberFormat="1" applyFont="1" applyBorder="1"/>
    <xf numFmtId="44" fontId="35" fillId="14" borderId="5" xfId="0" applyNumberFormat="1" applyFont="1" applyFill="1" applyBorder="1" applyAlignment="1">
      <alignment wrapText="1"/>
    </xf>
    <xf numFmtId="44" fontId="35" fillId="14" borderId="7" xfId="0" applyNumberFormat="1" applyFont="1" applyFill="1" applyBorder="1" applyAlignment="1">
      <alignment wrapText="1"/>
    </xf>
    <xf numFmtId="44" fontId="32" fillId="19" borderId="20" xfId="0" applyNumberFormat="1" applyFont="1" applyFill="1" applyBorder="1" applyAlignment="1">
      <alignment horizontal="left"/>
    </xf>
    <xf numFmtId="44" fontId="32" fillId="19" borderId="13" xfId="0" applyNumberFormat="1" applyFont="1" applyFill="1" applyBorder="1" applyAlignment="1">
      <alignment horizontal="left"/>
    </xf>
    <xf numFmtId="44" fontId="0" fillId="0" borderId="0" xfId="0" applyNumberFormat="1"/>
    <xf numFmtId="178" fontId="0" fillId="0" borderId="0" xfId="0" applyNumberFormat="1"/>
    <xf numFmtId="44" fontId="4" fillId="0" borderId="7" xfId="0" applyNumberFormat="1" applyFont="1" applyBorder="1"/>
    <xf numFmtId="44" fontId="4" fillId="0" borderId="5" xfId="0" applyNumberFormat="1" applyFont="1" applyBorder="1"/>
    <xf numFmtId="44" fontId="82" fillId="0" borderId="5" xfId="0" applyNumberFormat="1" applyFont="1" applyBorder="1"/>
    <xf numFmtId="44" fontId="4" fillId="0" borderId="0" xfId="0" applyNumberFormat="1" applyFont="1"/>
    <xf numFmtId="44" fontId="38" fillId="0" borderId="6" xfId="0" applyNumberFormat="1" applyFont="1" applyBorder="1"/>
    <xf numFmtId="44" fontId="35" fillId="14" borderId="6" xfId="0" applyNumberFormat="1" applyFont="1" applyFill="1" applyBorder="1" applyAlignment="1">
      <alignment wrapText="1"/>
    </xf>
    <xf numFmtId="49" fontId="35" fillId="14" borderId="7" xfId="0" applyNumberFormat="1" applyFont="1" applyFill="1" applyBorder="1" applyAlignment="1">
      <alignment horizontal="center" wrapText="1"/>
    </xf>
    <xf numFmtId="44" fontId="82" fillId="0" borderId="6" xfId="0" applyNumberFormat="1" applyFont="1" applyBorder="1"/>
    <xf numFmtId="44" fontId="82" fillId="0" borderId="7" xfId="0" applyNumberFormat="1" applyFont="1" applyBorder="1"/>
    <xf numFmtId="0" fontId="42" fillId="0" borderId="0" xfId="0" applyFont="1"/>
    <xf numFmtId="44" fontId="52" fillId="14" borderId="7" xfId="0" applyNumberFormat="1" applyFont="1" applyFill="1" applyBorder="1" applyAlignment="1">
      <alignment wrapText="1"/>
    </xf>
    <xf numFmtId="0" fontId="42" fillId="0" borderId="5" xfId="0" applyFont="1" applyBorder="1"/>
    <xf numFmtId="44" fontId="83" fillId="19" borderId="13" xfId="0" applyNumberFormat="1" applyFont="1" applyFill="1" applyBorder="1" applyAlignment="1">
      <alignment horizontal="left"/>
    </xf>
    <xf numFmtId="166" fontId="32" fillId="0" borderId="41" xfId="0" applyNumberFormat="1" applyFont="1" applyBorder="1" applyAlignment="1">
      <alignment horizontal="center"/>
    </xf>
    <xf numFmtId="166" fontId="30" fillId="0" borderId="13" xfId="0" applyNumberFormat="1" applyFont="1" applyBorder="1" applyAlignment="1">
      <alignment horizontal="center" vertical="center" wrapText="1"/>
    </xf>
    <xf numFmtId="166" fontId="40" fillId="21" borderId="15" xfId="67" applyNumberFormat="1" applyFont="1" applyFill="1" applyBorder="1" applyProtection="1"/>
    <xf numFmtId="166" fontId="40" fillId="21" borderId="28" xfId="67" applyNumberFormat="1" applyFont="1" applyFill="1" applyBorder="1" applyProtection="1"/>
    <xf numFmtId="164" fontId="84" fillId="0" borderId="20" xfId="67" applyNumberFormat="1" applyFont="1" applyFill="1" applyBorder="1" applyProtection="1"/>
    <xf numFmtId="166" fontId="77" fillId="0" borderId="20" xfId="0" applyNumberFormat="1" applyFont="1" applyBorder="1" applyAlignment="1">
      <alignment horizontal="center" vertical="center" wrapText="1"/>
    </xf>
    <xf numFmtId="164" fontId="85" fillId="0" borderId="20" xfId="67" applyNumberFormat="1" applyFont="1" applyFill="1" applyBorder="1" applyProtection="1"/>
    <xf numFmtId="166" fontId="40" fillId="34" borderId="13" xfId="67" applyNumberFormat="1" applyFont="1" applyFill="1" applyBorder="1" applyProtection="1"/>
    <xf numFmtId="166" fontId="32" fillId="34" borderId="13" xfId="0" applyNumberFormat="1" applyFont="1" applyFill="1" applyBorder="1" applyAlignment="1">
      <alignment horizontal="justify"/>
    </xf>
    <xf numFmtId="165" fontId="59" fillId="34" borderId="0" xfId="0" applyNumberFormat="1" applyFont="1" applyFill="1"/>
    <xf numFmtId="166" fontId="4" fillId="34" borderId="13" xfId="51" applyNumberFormat="1" applyFont="1" applyFill="1" applyBorder="1" applyProtection="1"/>
    <xf numFmtId="172" fontId="4" fillId="34" borderId="7" xfId="0" applyNumberFormat="1" applyFont="1" applyFill="1" applyBorder="1"/>
    <xf numFmtId="166" fontId="32" fillId="34" borderId="15" xfId="0" applyNumberFormat="1" applyFont="1" applyFill="1" applyBorder="1" applyAlignment="1">
      <alignment horizontal="justify"/>
    </xf>
    <xf numFmtId="166" fontId="40" fillId="35" borderId="13" xfId="67" applyNumberFormat="1" applyFont="1" applyFill="1" applyBorder="1" applyProtection="1"/>
    <xf numFmtId="166" fontId="32" fillId="35" borderId="13" xfId="0" applyNumberFormat="1" applyFont="1" applyFill="1" applyBorder="1" applyAlignment="1">
      <alignment horizontal="justify"/>
    </xf>
    <xf numFmtId="166" fontId="40" fillId="35" borderId="15" xfId="67" applyNumberFormat="1" applyFont="1" applyFill="1" applyBorder="1" applyProtection="1"/>
    <xf numFmtId="166" fontId="40" fillId="36" borderId="13" xfId="67" applyNumberFormat="1" applyFont="1" applyFill="1" applyBorder="1" applyProtection="1"/>
    <xf numFmtId="166" fontId="32" fillId="37" borderId="7" xfId="0" applyNumberFormat="1" applyFont="1" applyFill="1" applyBorder="1" applyAlignment="1">
      <alignment horizontal="justify" wrapText="1"/>
    </xf>
    <xf numFmtId="166" fontId="49" fillId="36" borderId="13" xfId="68" applyNumberFormat="1" applyFont="1" applyFill="1" applyBorder="1" applyAlignment="1" applyProtection="1">
      <alignment horizontal="right" wrapText="1"/>
    </xf>
    <xf numFmtId="166" fontId="46" fillId="36" borderId="13" xfId="0" applyNumberFormat="1" applyFont="1" applyFill="1" applyBorder="1" applyAlignment="1">
      <alignment horizontal="justify"/>
    </xf>
    <xf numFmtId="166" fontId="32" fillId="34" borderId="15" xfId="0" applyNumberFormat="1" applyFont="1" applyFill="1" applyBorder="1" applyAlignment="1">
      <alignment wrapText="1"/>
    </xf>
    <xf numFmtId="166" fontId="32" fillId="34" borderId="13" xfId="0" applyNumberFormat="1" applyFont="1" applyFill="1" applyBorder="1" applyAlignment="1">
      <alignment wrapText="1"/>
    </xf>
    <xf numFmtId="166" fontId="32" fillId="34" borderId="32" xfId="0" applyNumberFormat="1" applyFont="1" applyFill="1" applyBorder="1" applyAlignment="1">
      <alignment wrapText="1"/>
    </xf>
    <xf numFmtId="166" fontId="32" fillId="34" borderId="15" xfId="0" applyNumberFormat="1" applyFont="1" applyFill="1" applyBorder="1"/>
    <xf numFmtId="166" fontId="32" fillId="34" borderId="15" xfId="0" applyNumberFormat="1" applyFont="1" applyFill="1" applyBorder="1" applyAlignment="1">
      <alignment horizontal="justify" wrapText="1"/>
    </xf>
    <xf numFmtId="166" fontId="32" fillId="34" borderId="7" xfId="0" applyNumberFormat="1" applyFont="1" applyFill="1" applyBorder="1"/>
    <xf numFmtId="166" fontId="32" fillId="34" borderId="7" xfId="0" applyNumberFormat="1" applyFont="1" applyFill="1" applyBorder="1" applyAlignment="1">
      <alignment horizontal="justify"/>
    </xf>
    <xf numFmtId="166" fontId="32" fillId="34" borderId="13" xfId="0" applyNumberFormat="1" applyFont="1" applyFill="1" applyBorder="1" applyAlignment="1">
      <alignment horizontal="right" wrapText="1"/>
    </xf>
    <xf numFmtId="166" fontId="32" fillId="34" borderId="15" xfId="0" applyNumberFormat="1" applyFont="1" applyFill="1" applyBorder="1" applyAlignment="1">
      <alignment horizontal="right" wrapText="1"/>
    </xf>
    <xf numFmtId="4" fontId="46" fillId="34" borderId="0" xfId="0" applyNumberFormat="1" applyFont="1" applyFill="1"/>
    <xf numFmtId="166" fontId="32" fillId="34" borderId="13" xfId="0" applyNumberFormat="1" applyFont="1" applyFill="1" applyBorder="1"/>
    <xf numFmtId="166" fontId="32" fillId="37" borderId="13" xfId="0" applyNumberFormat="1" applyFont="1" applyFill="1" applyBorder="1"/>
    <xf numFmtId="166" fontId="46" fillId="34" borderId="13" xfId="0" applyNumberFormat="1" applyFont="1" applyFill="1" applyBorder="1" applyAlignment="1">
      <alignment horizontal="justify"/>
    </xf>
    <xf numFmtId="166" fontId="32" fillId="34" borderId="13" xfId="0" applyNumberFormat="1" applyFont="1" applyFill="1" applyBorder="1" applyAlignment="1">
      <alignment horizontal="justify" wrapText="1"/>
    </xf>
    <xf numFmtId="164" fontId="51" fillId="0" borderId="5" xfId="68" applyNumberFormat="1" applyFont="1" applyFill="1" applyBorder="1" applyAlignment="1" applyProtection="1">
      <alignment wrapText="1"/>
    </xf>
    <xf numFmtId="164" fontId="41" fillId="0" borderId="29" xfId="67" applyNumberFormat="1" applyFont="1" applyFill="1" applyBorder="1" applyAlignment="1" applyProtection="1">
      <alignment wrapText="1"/>
    </xf>
    <xf numFmtId="164" fontId="41" fillId="0" borderId="20" xfId="67" applyNumberFormat="1" applyFont="1" applyFill="1" applyBorder="1" applyAlignment="1" applyProtection="1">
      <alignment wrapText="1"/>
    </xf>
    <xf numFmtId="166" fontId="30" fillId="32" borderId="7" xfId="0" applyNumberFormat="1" applyFont="1" applyFill="1" applyBorder="1" applyAlignment="1">
      <alignment horizontal="justify"/>
    </xf>
    <xf numFmtId="166" fontId="30" fillId="0" borderId="13" xfId="0" applyNumberFormat="1" applyFont="1" applyBorder="1" applyAlignment="1">
      <alignment horizontal="justify" vertical="center" wrapText="1"/>
    </xf>
    <xf numFmtId="166" fontId="38" fillId="38" borderId="13" xfId="0" applyNumberFormat="1" applyFont="1" applyFill="1" applyBorder="1" applyAlignment="1">
      <alignment horizontal="right" wrapText="1"/>
    </xf>
    <xf numFmtId="166" fontId="38" fillId="39" borderId="7" xfId="0" applyNumberFormat="1" applyFont="1" applyFill="1" applyBorder="1" applyAlignment="1">
      <alignment horizontal="right" wrapText="1"/>
    </xf>
    <xf numFmtId="164" fontId="33" fillId="0" borderId="28" xfId="0" applyNumberFormat="1" applyFont="1" applyBorder="1" applyAlignment="1">
      <alignment wrapText="1"/>
    </xf>
    <xf numFmtId="166" fontId="38" fillId="40" borderId="13" xfId="0" applyNumberFormat="1" applyFont="1" applyFill="1" applyBorder="1" applyAlignment="1">
      <alignment horizontal="right" wrapText="1"/>
    </xf>
    <xf numFmtId="166" fontId="42" fillId="38" borderId="15" xfId="0" applyNumberFormat="1" applyFont="1" applyFill="1" applyBorder="1" applyAlignment="1">
      <alignment wrapText="1"/>
    </xf>
    <xf numFmtId="166" fontId="42" fillId="40" borderId="13" xfId="0" applyNumberFormat="1" applyFont="1" applyFill="1" applyBorder="1" applyAlignment="1">
      <alignment horizontal="center" wrapText="1"/>
    </xf>
    <xf numFmtId="166" fontId="42" fillId="40" borderId="13" xfId="0" applyNumberFormat="1" applyFont="1" applyFill="1" applyBorder="1" applyAlignment="1">
      <alignment horizontal="justify" wrapText="1"/>
    </xf>
    <xf numFmtId="166" fontId="53" fillId="41" borderId="13" xfId="0" applyNumberFormat="1" applyFont="1" applyFill="1" applyBorder="1" applyAlignment="1">
      <alignment horizontal="center" wrapText="1"/>
    </xf>
    <xf numFmtId="166" fontId="32" fillId="0" borderId="40" xfId="0" applyNumberFormat="1" applyFont="1" applyBorder="1" applyAlignment="1">
      <alignment horizontal="center"/>
    </xf>
    <xf numFmtId="0" fontId="32" fillId="32" borderId="24" xfId="0" applyFont="1" applyFill="1" applyBorder="1" applyAlignment="1">
      <alignment wrapText="1"/>
    </xf>
    <xf numFmtId="0" fontId="32" fillId="32" borderId="0" xfId="0" applyFont="1" applyFill="1" applyAlignment="1">
      <alignment wrapText="1"/>
    </xf>
    <xf numFmtId="49" fontId="32" fillId="32" borderId="0" xfId="0" applyNumberFormat="1" applyFont="1" applyFill="1" applyAlignment="1">
      <alignment wrapText="1"/>
    </xf>
    <xf numFmtId="49" fontId="32" fillId="32" borderId="25" xfId="0" applyNumberFormat="1" applyFont="1" applyFill="1" applyBorder="1" applyAlignment="1">
      <alignment wrapText="1"/>
    </xf>
    <xf numFmtId="0" fontId="30" fillId="33" borderId="12" xfId="0" applyFont="1" applyFill="1" applyBorder="1"/>
    <xf numFmtId="168" fontId="32" fillId="33" borderId="13" xfId="0" applyNumberFormat="1" applyFont="1" applyFill="1" applyBorder="1" applyAlignment="1">
      <alignment horizontal="right" wrapText="1"/>
    </xf>
    <xf numFmtId="168" fontId="30" fillId="32" borderId="13" xfId="0" applyNumberFormat="1" applyFont="1" applyFill="1" applyBorder="1" applyAlignment="1">
      <alignment horizontal="right" wrapText="1"/>
    </xf>
    <xf numFmtId="168" fontId="32" fillId="32" borderId="13" xfId="0" applyNumberFormat="1" applyFont="1" applyFill="1" applyBorder="1" applyAlignment="1">
      <alignment horizontal="right" wrapText="1"/>
    </xf>
    <xf numFmtId="164" fontId="32" fillId="32" borderId="13" xfId="0" applyNumberFormat="1" applyFont="1" applyFill="1" applyBorder="1" applyAlignment="1">
      <alignment horizontal="right" wrapText="1"/>
    </xf>
    <xf numFmtId="165" fontId="32" fillId="32" borderId="13" xfId="0" applyNumberFormat="1" applyFont="1" applyFill="1" applyBorder="1" applyAlignment="1">
      <alignment horizontal="right" wrapText="1"/>
    </xf>
    <xf numFmtId="165" fontId="32" fillId="32" borderId="13" xfId="0" applyNumberFormat="1" applyFont="1" applyFill="1" applyBorder="1" applyAlignment="1">
      <alignment wrapText="1"/>
    </xf>
    <xf numFmtId="165" fontId="30" fillId="32" borderId="13" xfId="0" applyNumberFormat="1" applyFont="1" applyFill="1" applyBorder="1" applyAlignment="1">
      <alignment wrapText="1"/>
    </xf>
    <xf numFmtId="166" fontId="32" fillId="32" borderId="13" xfId="0" applyNumberFormat="1" applyFont="1" applyFill="1" applyBorder="1" applyAlignment="1">
      <alignment wrapText="1"/>
    </xf>
    <xf numFmtId="166" fontId="30" fillId="32" borderId="13" xfId="0" applyNumberFormat="1" applyFont="1" applyFill="1" applyBorder="1" applyAlignment="1">
      <alignment horizontal="justify" wrapText="1"/>
    </xf>
    <xf numFmtId="166" fontId="38" fillId="32" borderId="7" xfId="0" applyNumberFormat="1" applyFont="1" applyFill="1" applyBorder="1" applyAlignment="1">
      <alignment wrapText="1"/>
    </xf>
    <xf numFmtId="166" fontId="30" fillId="32" borderId="5" xfId="0" applyNumberFormat="1" applyFont="1" applyFill="1" applyBorder="1" applyAlignment="1">
      <alignment wrapText="1"/>
    </xf>
    <xf numFmtId="164" fontId="33" fillId="32" borderId="5" xfId="0" applyNumberFormat="1" applyFont="1" applyFill="1" applyBorder="1" applyAlignment="1">
      <alignment wrapText="1"/>
    </xf>
    <xf numFmtId="0" fontId="30" fillId="32" borderId="5" xfId="0" applyFont="1" applyFill="1" applyBorder="1"/>
    <xf numFmtId="165" fontId="30" fillId="32" borderId="0" xfId="0" applyNumberFormat="1" applyFont="1" applyFill="1"/>
    <xf numFmtId="0" fontId="30" fillId="32" borderId="0" xfId="0" applyFont="1" applyFill="1"/>
    <xf numFmtId="0" fontId="0" fillId="32" borderId="0" xfId="0" applyFill="1"/>
    <xf numFmtId="165" fontId="30" fillId="32" borderId="13" xfId="0" applyNumberFormat="1" applyFont="1" applyFill="1" applyBorder="1" applyAlignment="1">
      <alignment horizontal="right" wrapText="1"/>
    </xf>
    <xf numFmtId="166" fontId="32" fillId="32" borderId="13" xfId="0" applyNumberFormat="1" applyFont="1" applyFill="1" applyBorder="1" applyAlignment="1">
      <alignment horizontal="right" wrapText="1"/>
    </xf>
    <xf numFmtId="166" fontId="38" fillId="32" borderId="13" xfId="0" applyNumberFormat="1" applyFont="1" applyFill="1" applyBorder="1" applyAlignment="1">
      <alignment horizontal="right" wrapText="1"/>
    </xf>
    <xf numFmtId="166" fontId="30" fillId="32" borderId="20" xfId="0" applyNumberFormat="1" applyFont="1" applyFill="1" applyBorder="1" applyAlignment="1">
      <alignment horizontal="right" wrapText="1"/>
    </xf>
    <xf numFmtId="164" fontId="33" fillId="33" borderId="20" xfId="0" applyNumberFormat="1" applyFont="1" applyFill="1" applyBorder="1" applyAlignment="1">
      <alignment wrapText="1"/>
    </xf>
    <xf numFmtId="0" fontId="30" fillId="32" borderId="12" xfId="0" applyFont="1" applyFill="1" applyBorder="1"/>
    <xf numFmtId="166" fontId="32" fillId="32" borderId="13" xfId="0" applyNumberFormat="1" applyFont="1" applyFill="1" applyBorder="1" applyAlignment="1">
      <alignment horizontal="justify" wrapText="1"/>
    </xf>
    <xf numFmtId="166" fontId="38" fillId="32" borderId="13" xfId="0" applyNumberFormat="1" applyFont="1" applyFill="1" applyBorder="1" applyAlignment="1">
      <alignment horizontal="justify" wrapText="1"/>
    </xf>
    <xf numFmtId="166" fontId="30" fillId="32" borderId="20" xfId="0" applyNumberFormat="1" applyFont="1" applyFill="1" applyBorder="1" applyAlignment="1">
      <alignment horizontal="justify" wrapText="1"/>
    </xf>
    <xf numFmtId="164" fontId="33" fillId="32" borderId="20" xfId="0" applyNumberFormat="1" applyFont="1" applyFill="1" applyBorder="1" applyAlignment="1">
      <alignment wrapText="1"/>
    </xf>
    <xf numFmtId="0" fontId="30" fillId="33" borderId="26" xfId="0" applyFont="1" applyFill="1" applyBorder="1"/>
    <xf numFmtId="168" fontId="32" fillId="33" borderId="15" xfId="0" applyNumberFormat="1" applyFont="1" applyFill="1" applyBorder="1"/>
    <xf numFmtId="168" fontId="30" fillId="32" borderId="15" xfId="0" applyNumberFormat="1" applyFont="1" applyFill="1" applyBorder="1"/>
    <xf numFmtId="168" fontId="32" fillId="32" borderId="15" xfId="0" applyNumberFormat="1" applyFont="1" applyFill="1" applyBorder="1"/>
    <xf numFmtId="169" fontId="32" fillId="32" borderId="15" xfId="0" applyNumberFormat="1" applyFont="1" applyFill="1" applyBorder="1"/>
    <xf numFmtId="165" fontId="32" fillId="32" borderId="15" xfId="0" applyNumberFormat="1" applyFont="1" applyFill="1" applyBorder="1"/>
    <xf numFmtId="165" fontId="32" fillId="33" borderId="15" xfId="0" applyNumberFormat="1" applyFont="1" applyFill="1" applyBorder="1"/>
    <xf numFmtId="165" fontId="30" fillId="33" borderId="15" xfId="0" applyNumberFormat="1" applyFont="1" applyFill="1" applyBorder="1"/>
    <xf numFmtId="166" fontId="32" fillId="32" borderId="15" xfId="0" applyNumberFormat="1" applyFont="1" applyFill="1" applyBorder="1"/>
    <xf numFmtId="166" fontId="30" fillId="32" borderId="15" xfId="0" applyNumberFormat="1" applyFont="1" applyFill="1" applyBorder="1" applyAlignment="1">
      <alignment horizontal="justify"/>
    </xf>
    <xf numFmtId="166" fontId="38" fillId="32" borderId="15" xfId="0" applyNumberFormat="1" applyFont="1" applyFill="1" applyBorder="1"/>
    <xf numFmtId="166" fontId="30" fillId="32" borderId="5" xfId="0" applyNumberFormat="1" applyFont="1" applyFill="1" applyBorder="1"/>
    <xf numFmtId="164" fontId="51" fillId="32" borderId="5" xfId="68" applyNumberFormat="1" applyFont="1" applyFill="1" applyBorder="1" applyAlignment="1" applyProtection="1">
      <alignment wrapText="1"/>
    </xf>
    <xf numFmtId="168" fontId="32" fillId="32" borderId="13" xfId="0" applyNumberFormat="1" applyFont="1" applyFill="1" applyBorder="1"/>
    <xf numFmtId="168" fontId="30" fillId="32" borderId="13" xfId="0" applyNumberFormat="1" applyFont="1" applyFill="1" applyBorder="1"/>
    <xf numFmtId="168" fontId="30" fillId="33" borderId="13" xfId="0" applyNumberFormat="1" applyFont="1" applyFill="1" applyBorder="1"/>
    <xf numFmtId="169" fontId="32" fillId="32" borderId="13" xfId="0" applyNumberFormat="1" applyFont="1" applyFill="1" applyBorder="1"/>
    <xf numFmtId="169" fontId="30" fillId="32" borderId="13" xfId="0" applyNumberFormat="1" applyFont="1" applyFill="1" applyBorder="1"/>
    <xf numFmtId="165" fontId="32" fillId="32" borderId="13" xfId="0" applyNumberFormat="1" applyFont="1" applyFill="1" applyBorder="1"/>
    <xf numFmtId="165" fontId="30" fillId="32" borderId="13" xfId="0" applyNumberFormat="1" applyFont="1" applyFill="1" applyBorder="1"/>
    <xf numFmtId="166" fontId="32" fillId="32" borderId="13" xfId="0" applyNumberFormat="1" applyFont="1" applyFill="1" applyBorder="1"/>
    <xf numFmtId="166" fontId="30" fillId="32" borderId="13" xfId="0" applyNumberFormat="1" applyFont="1" applyFill="1" applyBorder="1" applyAlignment="1">
      <alignment horizontal="justify"/>
    </xf>
    <xf numFmtId="166" fontId="32" fillId="32" borderId="13" xfId="0" applyNumberFormat="1" applyFont="1" applyFill="1" applyBorder="1" applyAlignment="1">
      <alignment horizontal="justify"/>
    </xf>
    <xf numFmtId="166" fontId="38" fillId="32" borderId="13" xfId="0" applyNumberFormat="1" applyFont="1" applyFill="1" applyBorder="1" applyAlignment="1">
      <alignment horizontal="justify"/>
    </xf>
    <xf numFmtId="166" fontId="30" fillId="32" borderId="20" xfId="0" applyNumberFormat="1" applyFont="1" applyFill="1" applyBorder="1" applyAlignment="1">
      <alignment horizontal="justify"/>
    </xf>
    <xf numFmtId="49" fontId="32" fillId="33" borderId="25" xfId="0" applyNumberFormat="1" applyFont="1" applyFill="1" applyBorder="1" applyAlignment="1">
      <alignment wrapText="1"/>
    </xf>
    <xf numFmtId="166" fontId="41" fillId="32" borderId="13" xfId="67" applyNumberFormat="1" applyFont="1" applyFill="1" applyBorder="1" applyProtection="1"/>
    <xf numFmtId="166" fontId="40" fillId="32" borderId="13" xfId="67" applyNumberFormat="1" applyFont="1" applyFill="1" applyBorder="1" applyProtection="1"/>
    <xf numFmtId="166" fontId="41" fillId="32" borderId="20" xfId="67" applyNumberFormat="1" applyFont="1" applyFill="1" applyBorder="1" applyProtection="1"/>
    <xf numFmtId="0" fontId="36" fillId="32" borderId="5" xfId="0" applyFont="1" applyFill="1" applyBorder="1"/>
    <xf numFmtId="0" fontId="36" fillId="32" borderId="0" xfId="0" applyFont="1" applyFill="1"/>
    <xf numFmtId="166" fontId="40" fillId="42" borderId="13" xfId="67" applyNumberFormat="1" applyFont="1" applyFill="1" applyBorder="1" applyProtection="1"/>
    <xf numFmtId="0" fontId="30" fillId="32" borderId="26" xfId="0" applyFont="1" applyFill="1" applyBorder="1"/>
    <xf numFmtId="170" fontId="32" fillId="32" borderId="15" xfId="0" applyNumberFormat="1" applyFont="1" applyFill="1" applyBorder="1"/>
    <xf numFmtId="170" fontId="30" fillId="32" borderId="15" xfId="0" applyNumberFormat="1" applyFont="1" applyFill="1" applyBorder="1"/>
    <xf numFmtId="165" fontId="30" fillId="32" borderId="15" xfId="0" applyNumberFormat="1" applyFont="1" applyFill="1" applyBorder="1"/>
    <xf numFmtId="166" fontId="32" fillId="32" borderId="15" xfId="0" applyNumberFormat="1" applyFont="1" applyFill="1" applyBorder="1" applyAlignment="1">
      <alignment horizontal="justify"/>
    </xf>
    <xf numFmtId="166" fontId="38" fillId="32" borderId="15" xfId="0" applyNumberFormat="1" applyFont="1" applyFill="1" applyBorder="1" applyAlignment="1">
      <alignment horizontal="justify"/>
    </xf>
    <xf numFmtId="166" fontId="38" fillId="32" borderId="32" xfId="0" applyNumberFormat="1" applyFont="1" applyFill="1" applyBorder="1" applyAlignment="1">
      <alignment horizontal="justify"/>
    </xf>
    <xf numFmtId="170" fontId="32" fillId="32" borderId="13" xfId="0" applyNumberFormat="1" applyFont="1" applyFill="1" applyBorder="1"/>
    <xf numFmtId="170" fontId="30" fillId="32" borderId="13" xfId="0" applyNumberFormat="1" applyFont="1" applyFill="1" applyBorder="1"/>
    <xf numFmtId="164" fontId="33" fillId="32" borderId="20" xfId="0" applyNumberFormat="1" applyFont="1" applyFill="1" applyBorder="1" applyAlignment="1">
      <alignment horizontal="left" wrapText="1"/>
    </xf>
    <xf numFmtId="0" fontId="32" fillId="32" borderId="12" xfId="0" applyFont="1" applyFill="1" applyBorder="1"/>
    <xf numFmtId="166" fontId="59" fillId="32" borderId="20" xfId="0" applyNumberFormat="1" applyFont="1" applyFill="1" applyBorder="1" applyAlignment="1">
      <alignment horizontal="justify"/>
    </xf>
    <xf numFmtId="169" fontId="30" fillId="32" borderId="15" xfId="0" applyNumberFormat="1" applyFont="1" applyFill="1" applyBorder="1"/>
    <xf numFmtId="169" fontId="32" fillId="33" borderId="15" xfId="0" applyNumberFormat="1" applyFont="1" applyFill="1" applyBorder="1"/>
    <xf numFmtId="166" fontId="40" fillId="32" borderId="15" xfId="67" applyNumberFormat="1" applyFont="1" applyFill="1" applyBorder="1" applyProtection="1"/>
    <xf numFmtId="166" fontId="41" fillId="32" borderId="15" xfId="67" applyNumberFormat="1" applyFont="1" applyFill="1" applyBorder="1" applyProtection="1"/>
    <xf numFmtId="166" fontId="41" fillId="32" borderId="16" xfId="67" applyNumberFormat="1" applyFont="1" applyFill="1" applyBorder="1" applyProtection="1"/>
    <xf numFmtId="164" fontId="41" fillId="32" borderId="16" xfId="67" applyNumberFormat="1" applyFont="1" applyFill="1" applyBorder="1" applyProtection="1"/>
    <xf numFmtId="168" fontId="32" fillId="33" borderId="15" xfId="0" applyNumberFormat="1" applyFont="1" applyFill="1" applyBorder="1" applyAlignment="1">
      <alignment horizontal="right" wrapText="1"/>
    </xf>
    <xf numFmtId="168" fontId="30" fillId="32" borderId="15" xfId="0" applyNumberFormat="1" applyFont="1" applyFill="1" applyBorder="1" applyAlignment="1">
      <alignment horizontal="right" wrapText="1"/>
    </xf>
    <xf numFmtId="168" fontId="32" fillId="32" borderId="15" xfId="0" applyNumberFormat="1" applyFont="1" applyFill="1" applyBorder="1" applyAlignment="1">
      <alignment horizontal="right" wrapText="1"/>
    </xf>
    <xf numFmtId="168" fontId="30" fillId="33" borderId="15" xfId="0" applyNumberFormat="1" applyFont="1" applyFill="1" applyBorder="1" applyAlignment="1">
      <alignment horizontal="right" wrapText="1"/>
    </xf>
    <xf numFmtId="164" fontId="32" fillId="32" borderId="15" xfId="0" applyNumberFormat="1" applyFont="1" applyFill="1" applyBorder="1" applyAlignment="1">
      <alignment horizontal="right" wrapText="1"/>
    </xf>
    <xf numFmtId="164" fontId="30" fillId="33" borderId="15" xfId="0" applyNumberFormat="1" applyFont="1" applyFill="1" applyBorder="1" applyAlignment="1">
      <alignment horizontal="right" wrapText="1"/>
    </xf>
    <xf numFmtId="165" fontId="32" fillId="32" borderId="15" xfId="0" applyNumberFormat="1" applyFont="1" applyFill="1" applyBorder="1" applyAlignment="1">
      <alignment horizontal="right" wrapText="1"/>
    </xf>
    <xf numFmtId="165" fontId="30" fillId="32" borderId="15" xfId="0" applyNumberFormat="1" applyFont="1" applyFill="1" applyBorder="1" applyAlignment="1">
      <alignment horizontal="right" wrapText="1"/>
    </xf>
    <xf numFmtId="166" fontId="32" fillId="32" borderId="15" xfId="0" applyNumberFormat="1" applyFont="1" applyFill="1" applyBorder="1" applyAlignment="1">
      <alignment horizontal="right" wrapText="1"/>
    </xf>
    <xf numFmtId="166" fontId="30" fillId="32" borderId="15" xfId="0" applyNumberFormat="1" applyFont="1" applyFill="1" applyBorder="1" applyAlignment="1">
      <alignment horizontal="justify" wrapText="1"/>
    </xf>
    <xf numFmtId="166" fontId="49" fillId="32" borderId="15" xfId="68" applyNumberFormat="1" applyFont="1" applyFill="1" applyBorder="1" applyAlignment="1" applyProtection="1">
      <alignment horizontal="right" wrapText="1"/>
    </xf>
    <xf numFmtId="166" fontId="41" fillId="32" borderId="15" xfId="68" applyNumberFormat="1" applyFont="1" applyFill="1" applyBorder="1" applyAlignment="1" applyProtection="1">
      <alignment horizontal="right" wrapText="1"/>
    </xf>
    <xf numFmtId="166" fontId="51" fillId="32" borderId="16" xfId="68" applyNumberFormat="1" applyFont="1" applyFill="1" applyBorder="1" applyAlignment="1" applyProtection="1">
      <alignment horizontal="right" wrapText="1"/>
    </xf>
    <xf numFmtId="164" fontId="51" fillId="32" borderId="16" xfId="68" applyNumberFormat="1" applyFont="1" applyFill="1" applyBorder="1" applyAlignment="1" applyProtection="1">
      <alignment wrapText="1"/>
    </xf>
    <xf numFmtId="165" fontId="32" fillId="32" borderId="7" xfId="0" applyNumberFormat="1" applyFont="1" applyFill="1" applyBorder="1" applyAlignment="1">
      <alignment horizontal="right" wrapText="1"/>
    </xf>
    <xf numFmtId="165" fontId="30" fillId="32" borderId="7" xfId="0" applyNumberFormat="1" applyFont="1" applyFill="1" applyBorder="1" applyAlignment="1">
      <alignment horizontal="right" wrapText="1"/>
    </xf>
    <xf numFmtId="166" fontId="32" fillId="32" borderId="7" xfId="0" applyNumberFormat="1" applyFont="1" applyFill="1" applyBorder="1" applyAlignment="1">
      <alignment horizontal="right" wrapText="1"/>
    </xf>
    <xf numFmtId="166" fontId="30" fillId="32" borderId="7" xfId="0" applyNumberFormat="1" applyFont="1" applyFill="1" applyBorder="1" applyAlignment="1">
      <alignment horizontal="justify" wrapText="1"/>
    </xf>
    <xf numFmtId="166" fontId="49" fillId="32" borderId="7" xfId="68" applyNumberFormat="1" applyFont="1" applyFill="1" applyBorder="1" applyAlignment="1" applyProtection="1">
      <alignment horizontal="right" wrapText="1"/>
    </xf>
    <xf numFmtId="166" fontId="50" fillId="32" borderId="7" xfId="68" applyNumberFormat="1" applyFont="1" applyFill="1" applyBorder="1" applyAlignment="1" applyProtection="1">
      <alignment horizontal="right" wrapText="1"/>
    </xf>
    <xf numFmtId="166" fontId="49" fillId="43" borderId="7" xfId="68" applyNumberFormat="1" applyFont="1" applyFill="1" applyBorder="1" applyAlignment="1" applyProtection="1">
      <alignment horizontal="right" wrapText="1"/>
    </xf>
    <xf numFmtId="166" fontId="51" fillId="32" borderId="5" xfId="68" applyNumberFormat="1" applyFont="1" applyFill="1" applyBorder="1" applyAlignment="1" applyProtection="1">
      <alignment horizontal="right" wrapText="1"/>
    </xf>
    <xf numFmtId="168" fontId="32" fillId="32" borderId="13" xfId="0" applyNumberFormat="1" applyFont="1" applyFill="1" applyBorder="1" applyAlignment="1">
      <alignment horizontal="right"/>
    </xf>
    <xf numFmtId="168" fontId="30" fillId="32" borderId="13" xfId="0" applyNumberFormat="1" applyFont="1" applyFill="1" applyBorder="1" applyAlignment="1">
      <alignment horizontal="right"/>
    </xf>
    <xf numFmtId="169" fontId="32" fillId="32" borderId="13" xfId="0" applyNumberFormat="1" applyFont="1" applyFill="1" applyBorder="1" applyAlignment="1">
      <alignment horizontal="right"/>
    </xf>
    <xf numFmtId="169" fontId="30" fillId="32" borderId="13" xfId="0" applyNumberFormat="1" applyFont="1" applyFill="1" applyBorder="1" applyAlignment="1">
      <alignment horizontal="right"/>
    </xf>
    <xf numFmtId="169" fontId="32" fillId="33" borderId="13" xfId="0" applyNumberFormat="1" applyFont="1" applyFill="1" applyBorder="1" applyAlignment="1">
      <alignment horizontal="right"/>
    </xf>
    <xf numFmtId="165" fontId="32" fillId="32" borderId="13" xfId="0" applyNumberFormat="1" applyFont="1" applyFill="1" applyBorder="1" applyAlignment="1">
      <alignment horizontal="right"/>
    </xf>
    <xf numFmtId="165" fontId="30" fillId="32" borderId="13" xfId="0" applyNumberFormat="1" applyFont="1" applyFill="1" applyBorder="1" applyAlignment="1">
      <alignment horizontal="right"/>
    </xf>
    <xf numFmtId="168" fontId="32" fillId="33" borderId="13" xfId="0" applyNumberFormat="1" applyFont="1" applyFill="1" applyBorder="1"/>
    <xf numFmtId="169" fontId="32" fillId="33" borderId="13" xfId="0" applyNumberFormat="1" applyFont="1" applyFill="1" applyBorder="1"/>
    <xf numFmtId="169" fontId="30" fillId="33" borderId="13" xfId="0" applyNumberFormat="1" applyFont="1" applyFill="1" applyBorder="1"/>
    <xf numFmtId="165" fontId="32" fillId="33" borderId="13" xfId="0" applyNumberFormat="1" applyFont="1" applyFill="1" applyBorder="1"/>
    <xf numFmtId="165" fontId="30" fillId="33" borderId="13" xfId="0" applyNumberFormat="1" applyFont="1" applyFill="1" applyBorder="1"/>
    <xf numFmtId="166" fontId="32" fillId="33" borderId="13" xfId="0" applyNumberFormat="1" applyFont="1" applyFill="1" applyBorder="1"/>
    <xf numFmtId="166" fontId="30" fillId="33" borderId="13" xfId="0" applyNumberFormat="1" applyFont="1" applyFill="1" applyBorder="1" applyAlignment="1">
      <alignment horizontal="justify"/>
    </xf>
    <xf numFmtId="166" fontId="38" fillId="33" borderId="13" xfId="0" applyNumberFormat="1" applyFont="1" applyFill="1" applyBorder="1"/>
    <xf numFmtId="166" fontId="32" fillId="43" borderId="13" xfId="0" applyNumberFormat="1" applyFont="1" applyFill="1" applyBorder="1"/>
    <xf numFmtId="166" fontId="30" fillId="32" borderId="20" xfId="0" applyNumberFormat="1" applyFont="1" applyFill="1" applyBorder="1"/>
    <xf numFmtId="168" fontId="30" fillId="33" borderId="13" xfId="0" applyNumberFormat="1" applyFont="1" applyFill="1" applyBorder="1" applyAlignment="1">
      <alignment horizontal="right" wrapText="1"/>
    </xf>
    <xf numFmtId="168" fontId="30" fillId="32" borderId="14" xfId="0" applyNumberFormat="1" applyFont="1" applyFill="1" applyBorder="1"/>
    <xf numFmtId="169" fontId="30" fillId="32" borderId="14" xfId="0" applyNumberFormat="1" applyFont="1" applyFill="1" applyBorder="1"/>
    <xf numFmtId="168" fontId="30" fillId="32" borderId="13" xfId="0" applyNumberFormat="1" applyFont="1" applyFill="1" applyBorder="1" applyAlignment="1">
      <alignment wrapText="1"/>
    </xf>
    <xf numFmtId="166" fontId="32" fillId="32" borderId="13" xfId="0" applyNumberFormat="1" applyFont="1" applyFill="1" applyBorder="1" applyAlignment="1">
      <alignment horizontal="right"/>
    </xf>
    <xf numFmtId="166" fontId="32" fillId="42" borderId="13" xfId="0" applyNumberFormat="1" applyFont="1" applyFill="1" applyBorder="1" applyAlignment="1">
      <alignment horizontal="justify"/>
    </xf>
    <xf numFmtId="168" fontId="32" fillId="33" borderId="13" xfId="0" applyNumberFormat="1" applyFont="1" applyFill="1" applyBorder="1" applyAlignment="1">
      <alignment horizontal="right"/>
    </xf>
    <xf numFmtId="168" fontId="30" fillId="32" borderId="7" xfId="0" applyNumberFormat="1" applyFont="1" applyFill="1" applyBorder="1"/>
    <xf numFmtId="165" fontId="30" fillId="32" borderId="5" xfId="0" applyNumberFormat="1" applyFont="1" applyFill="1" applyBorder="1"/>
    <xf numFmtId="0" fontId="32" fillId="32" borderId="5" xfId="0" applyFont="1" applyFill="1" applyBorder="1" applyAlignment="1">
      <alignment wrapText="1"/>
    </xf>
    <xf numFmtId="165" fontId="30" fillId="32" borderId="7" xfId="0" applyNumberFormat="1" applyFont="1" applyFill="1" applyBorder="1"/>
    <xf numFmtId="166" fontId="41" fillId="32" borderId="7" xfId="67" applyNumberFormat="1" applyFont="1" applyFill="1" applyBorder="1" applyProtection="1"/>
    <xf numFmtId="166" fontId="38" fillId="32" borderId="13" xfId="0" applyNumberFormat="1" applyFont="1" applyFill="1" applyBorder="1"/>
    <xf numFmtId="0" fontId="32" fillId="33" borderId="24" xfId="0" applyFont="1" applyFill="1" applyBorder="1" applyAlignment="1">
      <alignment wrapText="1"/>
    </xf>
    <xf numFmtId="0" fontId="32" fillId="33" borderId="0" xfId="0" applyFont="1" applyFill="1" applyAlignment="1">
      <alignment wrapText="1"/>
    </xf>
    <xf numFmtId="49" fontId="32" fillId="33" borderId="0" xfId="0" applyNumberFormat="1" applyFont="1" applyFill="1" applyAlignment="1">
      <alignment wrapText="1"/>
    </xf>
    <xf numFmtId="166" fontId="38" fillId="32" borderId="7" xfId="0" applyNumberFormat="1" applyFont="1" applyFill="1" applyBorder="1"/>
    <xf numFmtId="164" fontId="30" fillId="32" borderId="5" xfId="0" applyNumberFormat="1" applyFont="1" applyFill="1" applyBorder="1" applyAlignment="1">
      <alignment vertical="center" wrapText="1"/>
    </xf>
    <xf numFmtId="0" fontId="32" fillId="32" borderId="21" xfId="0" applyFont="1" applyFill="1" applyBorder="1" applyAlignment="1">
      <alignment wrapText="1"/>
    </xf>
    <xf numFmtId="0" fontId="32" fillId="32" borderId="4" xfId="0" applyFont="1" applyFill="1" applyBorder="1" applyAlignment="1">
      <alignment wrapText="1"/>
    </xf>
    <xf numFmtId="49" fontId="32" fillId="32" borderId="4" xfId="0" applyNumberFormat="1" applyFont="1" applyFill="1" applyBorder="1" applyAlignment="1">
      <alignment wrapText="1"/>
    </xf>
    <xf numFmtId="49" fontId="32" fillId="32" borderId="22" xfId="0" applyNumberFormat="1" applyFont="1" applyFill="1" applyBorder="1" applyAlignment="1">
      <alignment wrapText="1"/>
    </xf>
    <xf numFmtId="0" fontId="32" fillId="32" borderId="27" xfId="0" applyFont="1" applyFill="1" applyBorder="1"/>
    <xf numFmtId="168" fontId="32" fillId="32" borderId="28" xfId="0" applyNumberFormat="1" applyFont="1" applyFill="1" applyBorder="1"/>
    <xf numFmtId="168" fontId="30" fillId="32" borderId="28" xfId="0" applyNumberFormat="1" applyFont="1" applyFill="1" applyBorder="1"/>
    <xf numFmtId="169" fontId="32" fillId="32" borderId="28" xfId="0" applyNumberFormat="1" applyFont="1" applyFill="1" applyBorder="1"/>
    <xf numFmtId="169" fontId="30" fillId="32" borderId="28" xfId="0" applyNumberFormat="1" applyFont="1" applyFill="1" applyBorder="1"/>
    <xf numFmtId="169" fontId="32" fillId="33" borderId="28" xfId="0" applyNumberFormat="1" applyFont="1" applyFill="1" applyBorder="1"/>
    <xf numFmtId="165" fontId="32" fillId="32" borderId="28" xfId="0" applyNumberFormat="1" applyFont="1" applyFill="1" applyBorder="1"/>
    <xf numFmtId="165" fontId="30" fillId="32" borderId="28" xfId="0" applyNumberFormat="1" applyFont="1" applyFill="1" applyBorder="1"/>
    <xf numFmtId="166" fontId="32" fillId="32" borderId="28" xfId="0" applyNumberFormat="1" applyFont="1" applyFill="1" applyBorder="1"/>
    <xf numFmtId="166" fontId="30" fillId="32" borderId="28" xfId="0" applyNumberFormat="1" applyFont="1" applyFill="1" applyBorder="1" applyAlignment="1">
      <alignment horizontal="justify"/>
    </xf>
    <xf numFmtId="166" fontId="38" fillId="32" borderId="28" xfId="0" applyNumberFormat="1" applyFont="1" applyFill="1" applyBorder="1"/>
    <xf numFmtId="166" fontId="32" fillId="33" borderId="28" xfId="0" applyNumberFormat="1" applyFont="1" applyFill="1" applyBorder="1"/>
    <xf numFmtId="164" fontId="83" fillId="33" borderId="16" xfId="0" applyNumberFormat="1" applyFont="1" applyFill="1" applyBorder="1" applyAlignment="1">
      <alignment wrapText="1"/>
    </xf>
    <xf numFmtId="166" fontId="30" fillId="32" borderId="0" xfId="0" applyNumberFormat="1" applyFont="1" applyFill="1"/>
    <xf numFmtId="165" fontId="59" fillId="0" borderId="0" xfId="0" applyNumberFormat="1" applyFont="1"/>
    <xf numFmtId="164" fontId="33" fillId="34" borderId="20" xfId="0" applyNumberFormat="1" applyFont="1" applyFill="1" applyBorder="1" applyAlignment="1">
      <alignment wrapText="1"/>
    </xf>
    <xf numFmtId="0" fontId="30" fillId="34" borderId="5" xfId="0" applyFont="1" applyFill="1" applyBorder="1"/>
    <xf numFmtId="165" fontId="30" fillId="34" borderId="0" xfId="0" applyNumberFormat="1" applyFont="1" applyFill="1"/>
    <xf numFmtId="0" fontId="30" fillId="34" borderId="0" xfId="0" applyFont="1" applyFill="1"/>
    <xf numFmtId="164" fontId="84" fillId="34" borderId="20" xfId="67" applyNumberFormat="1" applyFont="1" applyFill="1" applyBorder="1" applyProtection="1"/>
    <xf numFmtId="0" fontId="30" fillId="0" borderId="5" xfId="0" applyFont="1" applyFill="1" applyBorder="1"/>
    <xf numFmtId="165" fontId="30" fillId="0" borderId="0" xfId="0" applyNumberFormat="1" applyFont="1" applyFill="1"/>
    <xf numFmtId="0" fontId="30" fillId="0" borderId="0" xfId="0" applyFont="1" applyFill="1"/>
    <xf numFmtId="166" fontId="32" fillId="44" borderId="15" xfId="0" applyNumberFormat="1" applyFont="1" applyFill="1" applyBorder="1" applyAlignment="1">
      <alignment horizontal="center" vertical="center" wrapText="1"/>
    </xf>
    <xf numFmtId="166" fontId="32" fillId="45" borderId="15" xfId="0" applyNumberFormat="1" applyFont="1" applyFill="1" applyBorder="1" applyAlignment="1">
      <alignment horizontal="justify"/>
    </xf>
    <xf numFmtId="164" fontId="33" fillId="0" borderId="16" xfId="0" applyNumberFormat="1" applyFont="1" applyFill="1" applyBorder="1" applyAlignment="1">
      <alignment horizontal="left" wrapText="1"/>
    </xf>
    <xf numFmtId="164" fontId="33" fillId="0" borderId="20" xfId="0" applyNumberFormat="1" applyFont="1" applyFill="1" applyBorder="1" applyAlignment="1">
      <alignment horizontal="left" wrapText="1"/>
    </xf>
    <xf numFmtId="166" fontId="32" fillId="45" borderId="13" xfId="0" applyNumberFormat="1" applyFont="1" applyFill="1" applyBorder="1" applyAlignment="1">
      <alignment horizontal="justify"/>
    </xf>
    <xf numFmtId="8" fontId="59" fillId="45" borderId="15" xfId="0" applyNumberFormat="1" applyFont="1" applyFill="1" applyBorder="1"/>
    <xf numFmtId="166" fontId="32" fillId="46" borderId="13" xfId="0" applyNumberFormat="1" applyFont="1" applyFill="1" applyBorder="1" applyAlignment="1">
      <alignment horizontal="justify"/>
    </xf>
    <xf numFmtId="166" fontId="4" fillId="45" borderId="13" xfId="51" applyNumberFormat="1" applyFont="1" applyFill="1" applyBorder="1" applyProtection="1"/>
    <xf numFmtId="172" fontId="4" fillId="45" borderId="7" xfId="0" applyNumberFormat="1" applyFont="1" applyFill="1" applyBorder="1"/>
    <xf numFmtId="166" fontId="40" fillId="46" borderId="13" xfId="67" applyNumberFormat="1" applyFont="1" applyFill="1" applyBorder="1" applyProtection="1"/>
    <xf numFmtId="166" fontId="32" fillId="46" borderId="15" xfId="0" applyNumberFormat="1" applyFont="1" applyFill="1" applyBorder="1" applyAlignment="1">
      <alignment horizontal="justify"/>
    </xf>
    <xf numFmtId="166" fontId="40" fillId="47" borderId="15" xfId="67" applyNumberFormat="1" applyFont="1" applyFill="1" applyBorder="1" applyProtection="1"/>
    <xf numFmtId="166" fontId="40" fillId="45" borderId="13" xfId="67" applyNumberFormat="1" applyFont="1" applyFill="1" applyBorder="1" applyProtection="1"/>
    <xf numFmtId="166" fontId="40" fillId="45" borderId="28" xfId="67" applyNumberFormat="1" applyFont="1" applyFill="1" applyBorder="1" applyProtection="1"/>
    <xf numFmtId="166" fontId="40" fillId="45" borderId="15" xfId="67" applyNumberFormat="1" applyFont="1" applyFill="1" applyBorder="1" applyProtection="1"/>
    <xf numFmtId="166" fontId="49" fillId="48" borderId="13" xfId="68" applyNumberFormat="1" applyFont="1" applyFill="1" applyBorder="1" applyAlignment="1" applyProtection="1">
      <alignment horizontal="right" wrapText="1"/>
    </xf>
    <xf numFmtId="166" fontId="46" fillId="49" borderId="13" xfId="0" applyNumberFormat="1" applyFont="1" applyFill="1" applyBorder="1" applyAlignment="1">
      <alignment horizontal="justify"/>
    </xf>
    <xf numFmtId="166" fontId="32" fillId="48" borderId="13" xfId="0" applyNumberFormat="1" applyFont="1" applyFill="1" applyBorder="1"/>
    <xf numFmtId="166" fontId="46" fillId="45" borderId="28" xfId="0" applyNumberFormat="1" applyFont="1" applyFill="1" applyBorder="1"/>
    <xf numFmtId="166" fontId="32" fillId="34" borderId="40" xfId="0" applyNumberFormat="1" applyFont="1" applyFill="1" applyBorder="1" applyAlignment="1">
      <alignment horizontal="center" wrapText="1"/>
    </xf>
    <xf numFmtId="0" fontId="32" fillId="0" borderId="3" xfId="0" applyFont="1" applyBorder="1" applyAlignment="1">
      <alignment horizontal="center" vertical="center"/>
    </xf>
    <xf numFmtId="0" fontId="30" fillId="0" borderId="7" xfId="0" applyFont="1" applyBorder="1" applyAlignment="1">
      <alignment horizontal="left" wrapText="1"/>
    </xf>
    <xf numFmtId="0" fontId="30" fillId="0" borderId="8" xfId="0" applyFont="1" applyBorder="1" applyAlignment="1">
      <alignment horizontal="left" vertical="top" wrapText="1"/>
    </xf>
    <xf numFmtId="0" fontId="29" fillId="0" borderId="4" xfId="0" applyFont="1" applyBorder="1" applyAlignment="1">
      <alignment horizontal="center"/>
    </xf>
    <xf numFmtId="0" fontId="32" fillId="0" borderId="3" xfId="0" applyFont="1" applyBorder="1" applyAlignment="1">
      <alignment horizontal="center" vertical="center" wrapText="1"/>
    </xf>
    <xf numFmtId="0" fontId="30" fillId="0" borderId="8" xfId="0" applyFont="1" applyBorder="1" applyAlignment="1">
      <alignment horizontal="left" wrapText="1"/>
    </xf>
    <xf numFmtId="0" fontId="32" fillId="0" borderId="11" xfId="0" applyFont="1" applyBorder="1" applyAlignment="1">
      <alignment horizontal="center" vertical="center" wrapText="1"/>
    </xf>
    <xf numFmtId="0" fontId="32" fillId="6" borderId="12" xfId="0" applyFont="1" applyFill="1" applyBorder="1" applyAlignment="1">
      <alignment horizontal="center" vertical="center"/>
    </xf>
    <xf numFmtId="168" fontId="32" fillId="0" borderId="13" xfId="0" applyNumberFormat="1" applyFont="1" applyBorder="1" applyAlignment="1">
      <alignment horizontal="center"/>
    </xf>
    <xf numFmtId="166" fontId="32" fillId="0" borderId="13" xfId="0" applyNumberFormat="1" applyFont="1" applyBorder="1" applyAlignment="1">
      <alignment horizontal="center"/>
    </xf>
    <xf numFmtId="166" fontId="32" fillId="0" borderId="31" xfId="0" applyNumberFormat="1" applyFont="1" applyBorder="1" applyAlignment="1">
      <alignment horizontal="center"/>
    </xf>
    <xf numFmtId="166" fontId="32" fillId="0" borderId="41" xfId="0" applyNumberFormat="1" applyFont="1" applyBorder="1" applyAlignment="1">
      <alignment horizontal="center"/>
    </xf>
    <xf numFmtId="166" fontId="32" fillId="0" borderId="40" xfId="0" applyNumberFormat="1" applyFont="1" applyBorder="1" applyAlignment="1">
      <alignment horizontal="center"/>
    </xf>
    <xf numFmtId="166" fontId="32" fillId="0" borderId="14" xfId="0" applyNumberFormat="1" applyFont="1" applyBorder="1" applyAlignment="1">
      <alignment horizontal="center"/>
    </xf>
    <xf numFmtId="0" fontId="32" fillId="0" borderId="13" xfId="0" applyFont="1" applyBorder="1" applyAlignment="1">
      <alignment horizontal="center"/>
    </xf>
    <xf numFmtId="165" fontId="32" fillId="0" borderId="15" xfId="0" applyNumberFormat="1" applyFont="1" applyBorder="1" applyAlignment="1">
      <alignment horizontal="center"/>
    </xf>
    <xf numFmtId="165" fontId="32" fillId="0" borderId="13" xfId="0" applyNumberFormat="1" applyFont="1" applyBorder="1" applyAlignment="1">
      <alignment horizontal="center"/>
    </xf>
    <xf numFmtId="166" fontId="35" fillId="14" borderId="5" xfId="0" applyNumberFormat="1" applyFont="1" applyFill="1" applyBorder="1" applyAlignment="1">
      <alignment horizontal="center" wrapText="1"/>
    </xf>
    <xf numFmtId="166" fontId="35" fillId="14" borderId="6" xfId="0" applyNumberFormat="1" applyFont="1" applyFill="1" applyBorder="1" applyAlignment="1">
      <alignment horizontal="center" wrapText="1"/>
    </xf>
    <xf numFmtId="49" fontId="35" fillId="14" borderId="5" xfId="0" applyNumberFormat="1" applyFont="1" applyFill="1" applyBorder="1" applyAlignment="1">
      <alignment horizontal="center" wrapText="1"/>
    </xf>
    <xf numFmtId="49" fontId="35" fillId="14" borderId="6" xfId="0" applyNumberFormat="1" applyFont="1" applyFill="1" applyBorder="1" applyAlignment="1">
      <alignment horizontal="center" wrapText="1"/>
    </xf>
  </cellXfs>
  <cellStyles count="93">
    <cellStyle name="Accent" xfId="71" xr:uid="{C1EBD568-799D-45D8-A05B-98C3C41578CC}"/>
    <cellStyle name="Accent 1" xfId="72" xr:uid="{A6196642-ADB9-4EB2-8022-53C0D4DC0706}"/>
    <cellStyle name="Accent 1 2" xfId="2" xr:uid="{00000000-0005-0000-0000-000006000000}"/>
    <cellStyle name="Accent 1 5" xfId="3" xr:uid="{00000000-0005-0000-0000-000007000000}"/>
    <cellStyle name="Accent 1 7" xfId="4" xr:uid="{00000000-0005-0000-0000-000008000000}"/>
    <cellStyle name="Accent 2" xfId="73" xr:uid="{06C76162-3787-4739-9026-DFA407284B57}"/>
    <cellStyle name="Accent 2 2" xfId="5" xr:uid="{00000000-0005-0000-0000-000009000000}"/>
    <cellStyle name="Accent 2 6" xfId="6" xr:uid="{00000000-0005-0000-0000-00000A000000}"/>
    <cellStyle name="Accent 2 8" xfId="7" xr:uid="{00000000-0005-0000-0000-00000B000000}"/>
    <cellStyle name="Accent 3" xfId="74" xr:uid="{BC89AFDF-EC6B-437C-A9BC-37B1CACF2DA1}"/>
    <cellStyle name="Accent 3 2" xfId="8" xr:uid="{00000000-0005-0000-0000-00000C000000}"/>
    <cellStyle name="Accent 3 7" xfId="9" xr:uid="{00000000-0005-0000-0000-00000D000000}"/>
    <cellStyle name="Accent 3 9" xfId="10" xr:uid="{00000000-0005-0000-0000-00000E000000}"/>
    <cellStyle name="Accent 4" xfId="11" xr:uid="{00000000-0005-0000-0000-00000F000000}"/>
    <cellStyle name="Accent 5" xfId="12" xr:uid="{00000000-0005-0000-0000-000010000000}"/>
    <cellStyle name="Accent 6" xfId="13" xr:uid="{00000000-0005-0000-0000-000011000000}"/>
    <cellStyle name="Bad" xfId="75" xr:uid="{7C6B6ECD-B0FE-4716-84C4-4C341A606800}"/>
    <cellStyle name="Bad 10" xfId="14" xr:uid="{00000000-0005-0000-0000-000012000000}"/>
    <cellStyle name="Bad 2" xfId="15" xr:uid="{00000000-0005-0000-0000-000013000000}"/>
    <cellStyle name="Bad 8" xfId="16" xr:uid="{00000000-0005-0000-0000-000014000000}"/>
    <cellStyle name="cf1" xfId="17" xr:uid="{00000000-0005-0000-0000-000015000000}"/>
    <cellStyle name="cf2" xfId="18" xr:uid="{00000000-0005-0000-0000-000016000000}"/>
    <cellStyle name="cf3" xfId="19" xr:uid="{00000000-0005-0000-0000-000017000000}"/>
    <cellStyle name="cf4" xfId="20" xr:uid="{00000000-0005-0000-0000-000018000000}"/>
    <cellStyle name="cf5" xfId="21" xr:uid="{00000000-0005-0000-0000-000019000000}"/>
    <cellStyle name="cf6" xfId="22" xr:uid="{00000000-0005-0000-0000-00001A000000}"/>
    <cellStyle name="ConditionalStyle_1" xfId="76" xr:uid="{1F8CC881-3861-4BA6-BE1E-097864859C71}"/>
    <cellStyle name="Error" xfId="77" xr:uid="{B57CBC73-1B81-4DAF-A3F0-CEBA1ED37DDC}"/>
    <cellStyle name="Error 11" xfId="23" xr:uid="{00000000-0005-0000-0000-00001B000000}"/>
    <cellStyle name="Error 2" xfId="24" xr:uid="{00000000-0005-0000-0000-00001C000000}"/>
    <cellStyle name="Error 9" xfId="25" xr:uid="{00000000-0005-0000-0000-00001D000000}"/>
    <cellStyle name="Euro" xfId="26" xr:uid="{00000000-0005-0000-0000-00001E000000}"/>
    <cellStyle name="Euro 2" xfId="27" xr:uid="{00000000-0005-0000-0000-00001F000000}"/>
    <cellStyle name="Euro 3" xfId="78" xr:uid="{F7984771-25EF-4501-A8B8-C314F0B4DB09}"/>
    <cellStyle name="Excel Built-in Bad" xfId="68" xr:uid="{00000000-0005-0000-0000-000048000000}"/>
    <cellStyle name="Excel Built-in Bad 2" xfId="79" xr:uid="{A5E8B814-644A-4BC9-A6A2-F97E8A364DDA}"/>
    <cellStyle name="Excel Built-in Currency" xfId="80" xr:uid="{149C89D6-7D71-4CCE-BF38-2B3732A2BD29}"/>
    <cellStyle name="Excel Built-in Neutral" xfId="67" xr:uid="{00000000-0005-0000-0000-000047000000}"/>
    <cellStyle name="Footnote" xfId="81" xr:uid="{E2BD00E8-EC74-43D8-B23D-3BB8CF2F7CC8}"/>
    <cellStyle name="Footnote 11" xfId="28" xr:uid="{00000000-0005-0000-0000-000020000000}"/>
    <cellStyle name="Footnote 13" xfId="29" xr:uid="{00000000-0005-0000-0000-000021000000}"/>
    <cellStyle name="Footnote 2" xfId="30" xr:uid="{00000000-0005-0000-0000-000022000000}"/>
    <cellStyle name="Good" xfId="82" xr:uid="{A7942CF1-F9C9-44AC-99D6-ABF5135BC495}"/>
    <cellStyle name="Good 12" xfId="31" xr:uid="{00000000-0005-0000-0000-000023000000}"/>
    <cellStyle name="Good 14" xfId="32" xr:uid="{00000000-0005-0000-0000-000024000000}"/>
    <cellStyle name="Good 2" xfId="33" xr:uid="{00000000-0005-0000-0000-000025000000}"/>
    <cellStyle name="Heading (user)" xfId="83" xr:uid="{1137AE0E-2DF7-4C74-AC46-15D46A72A84D}"/>
    <cellStyle name="Heading (user) 13" xfId="34" xr:uid="{00000000-0005-0000-0000-000026000000}"/>
    <cellStyle name="Heading (user) 15" xfId="35" xr:uid="{00000000-0005-0000-0000-000027000000}"/>
    <cellStyle name="Heading (user) 2" xfId="36" xr:uid="{00000000-0005-0000-0000-000028000000}"/>
    <cellStyle name="Heading 1" xfId="84" xr:uid="{F66514EE-C2D3-45A6-A312-0576C494C40C}"/>
    <cellStyle name="Heading 1 14" xfId="37" xr:uid="{00000000-0005-0000-0000-000029000000}"/>
    <cellStyle name="Heading 1 16" xfId="38" xr:uid="{00000000-0005-0000-0000-00002A000000}"/>
    <cellStyle name="Heading 1 2" xfId="39" xr:uid="{00000000-0005-0000-0000-00002B000000}"/>
    <cellStyle name="Heading 2" xfId="85" xr:uid="{5E2DEF5C-1227-4428-8CD9-E88D715012B6}"/>
    <cellStyle name="Heading 2 15" xfId="40" xr:uid="{00000000-0005-0000-0000-00002C000000}"/>
    <cellStyle name="Heading 2 17" xfId="41" xr:uid="{00000000-0005-0000-0000-00002D000000}"/>
    <cellStyle name="Heading 2 2" xfId="42" xr:uid="{00000000-0005-0000-0000-00002E000000}"/>
    <cellStyle name="Hyperlink" xfId="86" xr:uid="{5DF9A2B8-416A-4AF0-96CB-91608A2723A4}"/>
    <cellStyle name="Hyperlink 16" xfId="43" xr:uid="{00000000-0005-0000-0000-00002F000000}"/>
    <cellStyle name="Hyperlink 18" xfId="44" xr:uid="{00000000-0005-0000-0000-000030000000}"/>
    <cellStyle name="Hyperlink 2" xfId="45" xr:uid="{00000000-0005-0000-0000-000031000000}"/>
    <cellStyle name="Neutral 2" xfId="46" xr:uid="{00000000-0005-0000-0000-000032000000}"/>
    <cellStyle name="Neutral 3" xfId="47" xr:uid="{00000000-0005-0000-0000-000033000000}"/>
    <cellStyle name="Neutral 4" xfId="70" xr:uid="{FA265843-A8FE-4E4C-BC05-7D3EF368DBAE}"/>
    <cellStyle name="Note" xfId="87" xr:uid="{17054E12-9F6D-48A8-BCB1-C57C9C96DD79}"/>
    <cellStyle name="Note 17" xfId="48" xr:uid="{00000000-0005-0000-0000-000034000000}"/>
    <cellStyle name="Note 19" xfId="49" xr:uid="{00000000-0005-0000-0000-000035000000}"/>
    <cellStyle name="Note 2" xfId="50" xr:uid="{00000000-0005-0000-0000-000036000000}"/>
    <cellStyle name="Standard" xfId="0" builtinId="0"/>
    <cellStyle name="Standard 2" xfId="51" xr:uid="{00000000-0005-0000-0000-000037000000}"/>
    <cellStyle name="Standard 2 2" xfId="52" xr:uid="{00000000-0005-0000-0000-000038000000}"/>
    <cellStyle name="Standard 2 3" xfId="88" xr:uid="{AA2CC850-DA8C-4CFE-AAAD-3C0F9884A184}"/>
    <cellStyle name="Standard 3" xfId="53" xr:uid="{00000000-0005-0000-0000-000039000000}"/>
    <cellStyle name="Standard 4" xfId="54" xr:uid="{00000000-0005-0000-0000-00003A000000}"/>
    <cellStyle name="Standard 5" xfId="69" xr:uid="{DDD23E49-55B9-416F-BBB8-B31441E2F944}"/>
    <cellStyle name="Status" xfId="89" xr:uid="{F86A9134-B81F-4745-8806-4363AC7BAEBE}"/>
    <cellStyle name="Status 18" xfId="55" xr:uid="{00000000-0005-0000-0000-00003B000000}"/>
    <cellStyle name="Status 2" xfId="56" xr:uid="{00000000-0005-0000-0000-00003C000000}"/>
    <cellStyle name="Status 20" xfId="57" xr:uid="{00000000-0005-0000-0000-00003D000000}"/>
    <cellStyle name="Text" xfId="90" xr:uid="{DEFCA806-3C57-4CE1-84A8-87A17FC16A58}"/>
    <cellStyle name="Text 19" xfId="58" xr:uid="{00000000-0005-0000-0000-00003E000000}"/>
    <cellStyle name="Text 2" xfId="59" xr:uid="{00000000-0005-0000-0000-00003F000000}"/>
    <cellStyle name="Text 21" xfId="60" xr:uid="{00000000-0005-0000-0000-000040000000}"/>
    <cellStyle name="Währung" xfId="1" builtinId="4"/>
    <cellStyle name="Währung 2" xfId="64" xr:uid="{00000000-0005-0000-0000-000044000000}"/>
    <cellStyle name="Währung 3" xfId="65" xr:uid="{00000000-0005-0000-0000-000045000000}"/>
    <cellStyle name="Währung 4" xfId="66" xr:uid="{00000000-0005-0000-0000-000046000000}"/>
    <cellStyle name="Währung 5" xfId="92" xr:uid="{100615BB-CDCF-4D69-A0F6-76BEF3DE5737}"/>
    <cellStyle name="Warning" xfId="91" xr:uid="{4710E2FD-2BAB-4B97-8866-962E7B0BA704}"/>
    <cellStyle name="Warning 2" xfId="61" xr:uid="{00000000-0005-0000-0000-000041000000}"/>
    <cellStyle name="Warning 20" xfId="62" xr:uid="{00000000-0005-0000-0000-000042000000}"/>
    <cellStyle name="Warning 22" xfId="63" xr:uid="{00000000-0005-0000-0000-000043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0000"/>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9C0006"/>
      <rgbColor rgb="FF006600"/>
      <rgbColor rgb="FF000080"/>
      <rgbColor rgb="FF996600"/>
      <rgbColor rgb="FF800080"/>
      <rgbColor rgb="FF008080"/>
      <rgbColor rgb="FFDDDDDD"/>
      <rgbColor rgb="FF808080"/>
      <rgbColor rgb="FF9999FF"/>
      <rgbColor rgb="FF953734"/>
      <rgbColor rgb="FFFFFFCC"/>
      <rgbColor rgb="FFC6EFCE"/>
      <rgbColor rgb="FF660066"/>
      <rgbColor rgb="FFD99594"/>
      <rgbColor rgb="FF0066CC"/>
      <rgbColor rgb="FFD9D9D9"/>
      <rgbColor rgb="FF000080"/>
      <rgbColor rgb="FFFF00FF"/>
      <rgbColor rgb="FFFFFF00"/>
      <rgbColor rgb="FF00FFFF"/>
      <rgbColor rgb="FF800080"/>
      <rgbColor rgb="FFCC0000"/>
      <rgbColor rgb="FF008080"/>
      <rgbColor rgb="FF0000FF"/>
      <rgbColor rgb="FF00CCFF"/>
      <rgbColor rgb="FFEEECE1"/>
      <rgbColor rgb="FFCCFFCC"/>
      <rgbColor rgb="FFFFC7CE"/>
      <rgbColor rgb="FF95B3D7"/>
      <rgbColor rgb="FFD99694"/>
      <rgbColor rgb="FFCC99FF"/>
      <rgbColor rgb="FFFFCCCC"/>
      <rgbColor rgb="FF3366FF"/>
      <rgbColor rgb="FF33CCCC"/>
      <rgbColor rgb="FF81D41A"/>
      <rgbColor rgb="FFFFC000"/>
      <rgbColor rgb="FFFFBF00"/>
      <rgbColor rgb="FFFF6600"/>
      <rgbColor rgb="FF366092"/>
      <rgbColor rgb="FF92D050"/>
      <rgbColor rgb="FF003366"/>
      <rgbColor rgb="FF00B050"/>
      <rgbColor rgb="FF0061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ATEN\Mathis.Lorenzen\Desktop\Haushalt%2022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Erläuterungen"/>
      <sheetName val="HH"/>
      <sheetName val="Tabelle1"/>
    </sheetNames>
    <sheetDataSet>
      <sheetData sheetId="0"/>
      <sheetData sheetId="1"/>
      <sheetData sheetId="2"/>
      <sheetData sheetId="3">
        <row r="9">
          <cell r="B9">
            <v>5760</v>
          </cell>
        </row>
        <row r="10">
          <cell r="B10">
            <v>2880</v>
          </cell>
        </row>
        <row r="11">
          <cell r="B11">
            <v>8640</v>
          </cell>
        </row>
        <row r="12">
          <cell r="B12">
            <v>11520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8"/>
  <sheetViews>
    <sheetView zoomScale="85" zoomScaleNormal="85" workbookViewId="0"/>
  </sheetViews>
  <sheetFormatPr baseColWidth="10" defaultColWidth="7" defaultRowHeight="14.25"/>
  <cols>
    <col min="1" max="1" width="119.375" customWidth="1"/>
    <col min="2" max="2" width="3.625" customWidth="1"/>
    <col min="3" max="6" width="5.75" customWidth="1"/>
    <col min="7" max="8" width="6.25" customWidth="1"/>
    <col min="9" max="9" width="3.75" hidden="1" customWidth="1"/>
    <col min="10" max="10" width="3.25" hidden="1" customWidth="1"/>
    <col min="11" max="11" width="3.5" hidden="1" customWidth="1"/>
    <col min="12" max="12" width="3.25" hidden="1" customWidth="1"/>
    <col min="13" max="13" width="4.75" hidden="1" customWidth="1"/>
    <col min="14" max="14" width="3.625" hidden="1" customWidth="1"/>
    <col min="15" max="15" width="7.375" hidden="1" customWidth="1"/>
    <col min="16" max="16" width="7.625" hidden="1" customWidth="1"/>
    <col min="17" max="17" width="8.375" hidden="1" customWidth="1"/>
    <col min="18" max="18" width="7.875" hidden="1" customWidth="1"/>
    <col min="19" max="22" width="6.25" customWidth="1"/>
    <col min="23" max="23" width="10.625" hidden="1" customWidth="1"/>
    <col min="24" max="24" width="11.125" hidden="1" customWidth="1"/>
    <col min="25" max="26" width="6.25" customWidth="1"/>
    <col min="27" max="64" width="8.5" customWidth="1"/>
    <col min="65" max="65" width="7.25" customWidth="1"/>
  </cols>
  <sheetData>
    <row r="1" spans="1:23" ht="31.5" customHeight="1">
      <c r="A1" s="1" t="s">
        <v>507</v>
      </c>
      <c r="B1" s="1"/>
      <c r="C1" s="2"/>
      <c r="W1" t="s">
        <v>0</v>
      </c>
    </row>
    <row r="2" spans="1:23" ht="15.75" customHeight="1">
      <c r="A2" s="3"/>
      <c r="B2" s="3"/>
    </row>
    <row r="3" spans="1:23" ht="15">
      <c r="A3" s="4" t="s">
        <v>502</v>
      </c>
      <c r="B3" s="5"/>
      <c r="C3" s="6"/>
    </row>
    <row r="4" spans="1:23" ht="15">
      <c r="A4" s="4" t="s">
        <v>1</v>
      </c>
      <c r="B4" s="7"/>
      <c r="C4" s="6"/>
    </row>
    <row r="5" spans="1:23" ht="30">
      <c r="A5" s="4" t="s">
        <v>2</v>
      </c>
      <c r="B5" s="8"/>
      <c r="C5" s="6"/>
    </row>
    <row r="6" spans="1:23" ht="30">
      <c r="A6" s="809" t="s">
        <v>3</v>
      </c>
      <c r="B6" s="9"/>
      <c r="C6" s="6"/>
    </row>
    <row r="7" spans="1:23" ht="45">
      <c r="A7" s="10" t="s">
        <v>4</v>
      </c>
      <c r="B7" s="9"/>
      <c r="C7" s="6"/>
    </row>
    <row r="8" spans="1:23" ht="15">
      <c r="A8" s="10" t="s">
        <v>5</v>
      </c>
      <c r="B8" s="5"/>
      <c r="C8" s="6"/>
    </row>
    <row r="9" spans="1:23" ht="30">
      <c r="A9" s="10" t="s">
        <v>6</v>
      </c>
      <c r="B9" s="5"/>
      <c r="C9" s="6"/>
    </row>
    <row r="10" spans="1:23" ht="15">
      <c r="A10" s="10" t="s">
        <v>487</v>
      </c>
      <c r="B10" s="9"/>
      <c r="C10" s="6"/>
    </row>
    <row r="11" spans="1:23" ht="15">
      <c r="A11" s="10" t="s">
        <v>7</v>
      </c>
      <c r="B11" s="9"/>
      <c r="C11" s="6"/>
    </row>
    <row r="12" spans="1:23" ht="30">
      <c r="A12" s="11" t="s">
        <v>8</v>
      </c>
      <c r="B12" s="9"/>
      <c r="C12" s="6"/>
    </row>
    <row r="13" spans="1:23" ht="14.25" customHeight="1">
      <c r="A13" s="807" t="s">
        <v>456</v>
      </c>
    </row>
    <row r="18" spans="2:2" ht="14.25" customHeight="1">
      <c r="B18" s="12"/>
    </row>
  </sheetData>
  <pageMargins left="0.7" right="0.7" top="1.575" bottom="1.5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85" zoomScaleNormal="85" workbookViewId="0">
      <selection activeCell="I9" sqref="I9"/>
    </sheetView>
  </sheetViews>
  <sheetFormatPr baseColWidth="10" defaultColWidth="7" defaultRowHeight="14.25"/>
  <cols>
    <col min="1" max="1" width="1.375" customWidth="1"/>
    <col min="2" max="2" width="0.875" customWidth="1"/>
    <col min="3" max="3" width="1.375" customWidth="1"/>
    <col min="4" max="4" width="0.625" customWidth="1"/>
    <col min="5" max="5" width="1.375" customWidth="1"/>
    <col min="6" max="6" width="0.625" customWidth="1"/>
    <col min="7" max="7" width="1.375" customWidth="1"/>
    <col min="8" max="8" width="21.5" customWidth="1"/>
    <col min="9" max="9" width="105.125" customWidth="1"/>
    <col min="10" max="10" width="3.25" customWidth="1"/>
    <col min="11" max="11" width="3.5" customWidth="1"/>
    <col min="12" max="12" width="3.25" customWidth="1"/>
    <col min="13" max="13" width="4.75" customWidth="1"/>
    <col min="14" max="14" width="3.625" customWidth="1"/>
    <col min="15" max="15" width="7.375" customWidth="1"/>
    <col min="16" max="16" width="7.625" customWidth="1"/>
    <col min="17" max="17" width="8.375" customWidth="1"/>
    <col min="18" max="18" width="7.875" customWidth="1"/>
    <col min="19" max="22" width="6.25" customWidth="1"/>
    <col min="23" max="23" width="10.625" customWidth="1"/>
    <col min="24" max="24" width="11.125" customWidth="1"/>
    <col min="25" max="26" width="6.25" customWidth="1"/>
    <col min="27" max="64" width="8.5" customWidth="1"/>
    <col min="65" max="65" width="7.25" customWidth="1"/>
  </cols>
  <sheetData>
    <row r="1" spans="1:26" ht="27.75">
      <c r="A1" s="1070" t="s">
        <v>508</v>
      </c>
      <c r="B1" s="1070"/>
      <c r="C1" s="1070"/>
      <c r="D1" s="1070"/>
      <c r="E1" s="1070"/>
      <c r="F1" s="1070"/>
      <c r="G1" s="1070"/>
      <c r="H1" s="1070"/>
      <c r="I1" s="1070"/>
      <c r="T1" t="s">
        <v>9</v>
      </c>
      <c r="U1" t="s">
        <v>10</v>
      </c>
      <c r="W1" t="s">
        <v>0</v>
      </c>
      <c r="Y1" t="s">
        <v>11</v>
      </c>
      <c r="Z1" t="s">
        <v>12</v>
      </c>
    </row>
    <row r="2" spans="1:26" ht="14.25" customHeight="1">
      <c r="A2" s="1071" t="s">
        <v>13</v>
      </c>
      <c r="B2" s="1071"/>
      <c r="C2" s="1071"/>
      <c r="D2" s="1071"/>
      <c r="E2" s="1071"/>
      <c r="F2" s="1071"/>
      <c r="G2" s="1071"/>
      <c r="H2" s="1071"/>
      <c r="I2" s="1067" t="s">
        <v>14</v>
      </c>
      <c r="J2" s="3"/>
      <c r="K2" s="3"/>
      <c r="L2" s="3"/>
      <c r="M2" s="3"/>
      <c r="N2" s="3"/>
      <c r="O2" s="3"/>
      <c r="P2" s="3"/>
      <c r="Q2" s="3"/>
    </row>
    <row r="3" spans="1:26">
      <c r="A3" s="1071"/>
      <c r="B3" s="1071"/>
      <c r="C3" s="1071"/>
      <c r="D3" s="1071"/>
      <c r="E3" s="1071"/>
      <c r="F3" s="1071"/>
      <c r="G3" s="1071"/>
      <c r="H3" s="1071"/>
      <c r="I3" s="1067"/>
      <c r="J3" s="3"/>
      <c r="K3" s="3"/>
      <c r="L3" s="3"/>
      <c r="M3" s="3"/>
      <c r="N3" s="3"/>
      <c r="O3" s="3"/>
      <c r="P3" s="3"/>
      <c r="Q3" s="3"/>
    </row>
    <row r="4" spans="1:26" ht="25.5">
      <c r="A4" s="13" t="s">
        <v>15</v>
      </c>
      <c r="B4" s="12" t="s">
        <v>16</v>
      </c>
      <c r="C4" s="12" t="s">
        <v>15</v>
      </c>
      <c r="D4" s="14" t="s">
        <v>16</v>
      </c>
      <c r="E4" s="15" t="s">
        <v>17</v>
      </c>
      <c r="F4" s="14" t="s">
        <v>16</v>
      </c>
      <c r="G4" s="15" t="s">
        <v>17</v>
      </c>
      <c r="H4" s="16" t="s">
        <v>18</v>
      </c>
      <c r="I4" s="17" t="s">
        <v>19</v>
      </c>
      <c r="J4" s="3"/>
      <c r="K4" s="3"/>
      <c r="L4" s="3"/>
      <c r="M4" s="3"/>
      <c r="N4" s="3"/>
      <c r="O4" s="3"/>
      <c r="P4" s="3"/>
      <c r="Q4" s="3"/>
    </row>
    <row r="5" spans="1:26">
      <c r="A5" s="18">
        <v>3</v>
      </c>
      <c r="B5" s="3"/>
      <c r="C5" s="3"/>
      <c r="D5" s="3"/>
      <c r="E5" s="3"/>
      <c r="F5" s="3"/>
      <c r="G5" s="3"/>
      <c r="H5" s="19" t="s">
        <v>20</v>
      </c>
      <c r="I5" s="17" t="s">
        <v>21</v>
      </c>
    </row>
    <row r="6" spans="1:26">
      <c r="A6" s="18">
        <v>5</v>
      </c>
      <c r="B6" s="3"/>
      <c r="C6" s="3"/>
      <c r="D6" s="3"/>
      <c r="E6" s="3"/>
      <c r="F6" s="3"/>
      <c r="G6" s="3"/>
      <c r="H6" s="19" t="s">
        <v>22</v>
      </c>
      <c r="I6" s="17" t="s">
        <v>23</v>
      </c>
    </row>
    <row r="7" spans="1:26" ht="30" customHeight="1">
      <c r="A7" s="20"/>
      <c r="H7" s="21"/>
      <c r="I7" s="810" t="s">
        <v>420</v>
      </c>
      <c r="J7" s="23"/>
      <c r="K7" s="23"/>
      <c r="L7" s="23"/>
      <c r="M7" s="23"/>
      <c r="N7" s="23"/>
      <c r="O7" s="23"/>
      <c r="P7" s="23"/>
      <c r="Q7" s="23"/>
    </row>
    <row r="8" spans="1:26" ht="32.25" customHeight="1">
      <c r="A8" s="24" t="s">
        <v>15</v>
      </c>
      <c r="B8" s="12" t="s">
        <v>16</v>
      </c>
      <c r="C8" s="25" t="s">
        <v>15</v>
      </c>
      <c r="D8" s="14" t="s">
        <v>16</v>
      </c>
      <c r="E8" s="15" t="s">
        <v>17</v>
      </c>
      <c r="F8" s="14" t="s">
        <v>16</v>
      </c>
      <c r="G8" s="15" t="s">
        <v>17</v>
      </c>
      <c r="H8" s="16" t="s">
        <v>24</v>
      </c>
      <c r="I8" s="22" t="s">
        <v>25</v>
      </c>
    </row>
    <row r="9" spans="1:26" ht="24.75" customHeight="1">
      <c r="A9" s="18"/>
      <c r="B9" s="3"/>
      <c r="C9" s="3">
        <v>1</v>
      </c>
      <c r="D9" s="3"/>
      <c r="E9" s="3"/>
      <c r="F9" s="3"/>
      <c r="G9" s="3"/>
      <c r="H9" s="19" t="s">
        <v>26</v>
      </c>
      <c r="I9" s="17" t="s">
        <v>27</v>
      </c>
    </row>
    <row r="10" spans="1:26">
      <c r="A10" s="18"/>
      <c r="B10" s="3"/>
      <c r="C10" s="3">
        <v>2</v>
      </c>
      <c r="D10" s="3"/>
      <c r="E10" s="3"/>
      <c r="F10" s="3"/>
      <c r="G10" s="3"/>
      <c r="H10" s="19" t="s">
        <v>28</v>
      </c>
      <c r="I10" s="17" t="s">
        <v>29</v>
      </c>
    </row>
    <row r="11" spans="1:26" ht="21.75" customHeight="1">
      <c r="A11" s="20"/>
      <c r="C11">
        <v>3</v>
      </c>
      <c r="H11" s="19" t="s">
        <v>30</v>
      </c>
      <c r="I11" s="17" t="s">
        <v>488</v>
      </c>
    </row>
    <row r="12" spans="1:26">
      <c r="A12" s="20"/>
      <c r="C12">
        <v>4</v>
      </c>
      <c r="H12" s="19" t="s">
        <v>31</v>
      </c>
      <c r="I12" s="17" t="s">
        <v>32</v>
      </c>
    </row>
    <row r="13" spans="1:26">
      <c r="A13" s="20"/>
      <c r="C13">
        <v>5</v>
      </c>
      <c r="H13" s="3" t="s">
        <v>33</v>
      </c>
      <c r="I13" s="26" t="s">
        <v>34</v>
      </c>
    </row>
    <row r="14" spans="1:26">
      <c r="A14" s="20"/>
      <c r="C14">
        <v>6</v>
      </c>
      <c r="H14" s="19" t="s">
        <v>35</v>
      </c>
      <c r="I14" s="808" t="s">
        <v>457</v>
      </c>
    </row>
    <row r="15" spans="1:26">
      <c r="A15" s="20"/>
      <c r="C15">
        <v>7</v>
      </c>
      <c r="H15" s="19" t="s">
        <v>36</v>
      </c>
    </row>
    <row r="16" spans="1:26">
      <c r="A16" s="20"/>
      <c r="C16">
        <v>8</v>
      </c>
      <c r="H16" s="19" t="s">
        <v>37</v>
      </c>
    </row>
    <row r="17" spans="1:9">
      <c r="A17" s="20"/>
      <c r="H17" s="21"/>
      <c r="I17" s="1067" t="s">
        <v>38</v>
      </c>
    </row>
    <row r="18" spans="1:9" ht="25.5">
      <c r="A18" s="24" t="s">
        <v>15</v>
      </c>
      <c r="B18" s="12" t="s">
        <v>16</v>
      </c>
      <c r="C18" s="12" t="s">
        <v>15</v>
      </c>
      <c r="D18" s="14" t="s">
        <v>16</v>
      </c>
      <c r="E18" s="27" t="s">
        <v>17</v>
      </c>
      <c r="F18" s="14" t="s">
        <v>16</v>
      </c>
      <c r="G18" s="15" t="s">
        <v>17</v>
      </c>
      <c r="H18" s="16" t="s">
        <v>39</v>
      </c>
      <c r="I18" s="1067"/>
    </row>
    <row r="19" spans="1:9" ht="14.25" customHeight="1">
      <c r="A19" s="20"/>
      <c r="H19" s="19" t="s">
        <v>40</v>
      </c>
      <c r="I19" s="1072" t="s">
        <v>458</v>
      </c>
    </row>
    <row r="20" spans="1:9">
      <c r="A20" s="20"/>
      <c r="H20" s="28" t="s">
        <v>41</v>
      </c>
      <c r="I20" s="1072"/>
    </row>
    <row r="21" spans="1:9">
      <c r="A21" s="20"/>
      <c r="H21" s="21"/>
      <c r="I21" s="1067" t="s">
        <v>42</v>
      </c>
    </row>
    <row r="22" spans="1:9" ht="25.5">
      <c r="A22" s="24" t="s">
        <v>15</v>
      </c>
      <c r="B22" s="12" t="s">
        <v>16</v>
      </c>
      <c r="C22" s="12" t="s">
        <v>15</v>
      </c>
      <c r="D22" s="14" t="s">
        <v>16</v>
      </c>
      <c r="E22" s="15" t="s">
        <v>17</v>
      </c>
      <c r="F22" s="14" t="s">
        <v>16</v>
      </c>
      <c r="G22" s="27" t="s">
        <v>17</v>
      </c>
      <c r="H22" s="16" t="s">
        <v>43</v>
      </c>
      <c r="I22" s="1067"/>
    </row>
    <row r="23" spans="1:9" ht="14.25" customHeight="1">
      <c r="A23" s="20"/>
      <c r="H23" s="19" t="s">
        <v>44</v>
      </c>
      <c r="I23" s="1068" t="s">
        <v>45</v>
      </c>
    </row>
    <row r="24" spans="1:9" ht="20.25" customHeight="1">
      <c r="A24" s="20"/>
      <c r="H24" s="28" t="s">
        <v>46</v>
      </c>
      <c r="I24" s="1068"/>
    </row>
    <row r="25" spans="1:9" ht="14.25" customHeight="1">
      <c r="A25" s="18"/>
      <c r="B25" s="3"/>
      <c r="C25" s="3"/>
      <c r="D25" s="3"/>
      <c r="E25" s="3"/>
      <c r="F25" s="3"/>
      <c r="G25" s="3"/>
      <c r="H25" s="28" t="s">
        <v>47</v>
      </c>
      <c r="I25" s="1069" t="s">
        <v>48</v>
      </c>
    </row>
    <row r="26" spans="1:9" ht="24" customHeight="1">
      <c r="A26" s="29"/>
      <c r="B26" s="30"/>
      <c r="C26" s="30"/>
      <c r="D26" s="30"/>
      <c r="E26" s="30"/>
      <c r="F26" s="30"/>
      <c r="G26" s="30"/>
      <c r="H26" s="31"/>
      <c r="I26" s="1069"/>
    </row>
    <row r="60" spans="21:21">
      <c r="U60" s="32"/>
    </row>
  </sheetData>
  <mergeCells count="8">
    <mergeCell ref="I21:I22"/>
    <mergeCell ref="I23:I24"/>
    <mergeCell ref="I25:I26"/>
    <mergeCell ref="A1:I1"/>
    <mergeCell ref="A2:H3"/>
    <mergeCell ref="I2:I3"/>
    <mergeCell ref="I17:I18"/>
    <mergeCell ref="I19:I20"/>
  </mergeCells>
  <pageMargins left="0.7" right="0.7" top="1.1812499999999999" bottom="1.1812499999999999" header="0.51180555555555496" footer="0.51180555555555496"/>
  <pageSetup paperSize="9" scale="59" firstPageNumber="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L1012"/>
  <sheetViews>
    <sheetView tabSelected="1" zoomScale="85" zoomScaleNormal="85" workbookViewId="0">
      <pane xSplit="8" ySplit="3" topLeftCell="AF82" activePane="bottomRight" state="frozen"/>
      <selection pane="topRight" activeCell="AB1" sqref="AB1"/>
      <selection pane="bottomLeft" activeCell="A223" sqref="A223"/>
      <selection pane="bottomRight" activeCell="H115" sqref="H115"/>
    </sheetView>
  </sheetViews>
  <sheetFormatPr baseColWidth="10" defaultColWidth="8.5" defaultRowHeight="14.25"/>
  <cols>
    <col min="1" max="1" width="1.625" style="3" customWidth="1"/>
    <col min="2" max="2" width="2" style="3" customWidth="1"/>
    <col min="3" max="3" width="1.75" style="3" customWidth="1"/>
    <col min="4" max="4" width="2" style="3" customWidth="1"/>
    <col min="5" max="5" width="2.75" style="3" customWidth="1"/>
    <col min="6" max="6" width="1.875" style="3" customWidth="1"/>
    <col min="7" max="7" width="3.125" style="3" customWidth="1"/>
    <col min="8" max="8" width="48.75" style="19" customWidth="1"/>
    <col min="9" max="10" width="10.5" style="33" hidden="1" customWidth="1"/>
    <col min="11" max="11" width="12.25" style="33" hidden="1" customWidth="1"/>
    <col min="12" max="12" width="10.5" style="33" hidden="1" customWidth="1"/>
    <col min="13" max="13" width="12" style="33" hidden="1" customWidth="1"/>
    <col min="14" max="14" width="12.125" style="33" hidden="1" customWidth="1"/>
    <col min="15" max="15" width="13.25" style="34" hidden="1" customWidth="1"/>
    <col min="16" max="16" width="12" style="34" hidden="1" customWidth="1"/>
    <col min="17" max="17" width="12.625" style="34" hidden="1" customWidth="1"/>
    <col min="18" max="18" width="11.25" style="34" hidden="1" customWidth="1"/>
    <col min="19" max="19" width="12" style="35" hidden="1" customWidth="1"/>
    <col min="20" max="20" width="10.5" style="35" hidden="1" customWidth="1"/>
    <col min="21" max="21" width="1.125" style="35" hidden="1" customWidth="1"/>
    <col min="22" max="22" width="12.875" style="35" hidden="1" customWidth="1"/>
    <col min="23" max="23" width="12" style="35" hidden="1" customWidth="1"/>
    <col min="24" max="24" width="13.5" style="36" bestFit="1" customWidth="1"/>
    <col min="25" max="25" width="12.25" style="37" customWidth="1"/>
    <col min="26" max="26" width="13.375" style="37" bestFit="1" customWidth="1"/>
    <col min="27" max="27" width="13.875" style="871" customWidth="1"/>
    <col min="28" max="28" width="13.125" style="37" customWidth="1"/>
    <col min="29" max="29" width="13" style="37" hidden="1" customWidth="1"/>
    <col min="30" max="30" width="13.125" style="37" customWidth="1"/>
    <col min="31" max="31" width="13.375" style="38" customWidth="1"/>
    <col min="32" max="32" width="13.375" style="37" customWidth="1"/>
    <col min="33" max="33" width="13.375" style="38" customWidth="1"/>
    <col min="34" max="35" width="13.375" style="37" customWidth="1"/>
    <col min="36" max="36" width="17" style="37" customWidth="1"/>
    <col min="37" max="37" width="42.625" style="39" customWidth="1"/>
    <col min="38" max="38" width="11.25" style="18" customWidth="1"/>
    <col min="39" max="39" width="11.25" style="3" customWidth="1"/>
    <col min="40" max="40" width="9.625" style="3" customWidth="1"/>
    <col min="41" max="41" width="10.5" style="3" customWidth="1"/>
    <col min="42" max="42" width="8.125" style="3" customWidth="1"/>
    <col min="43" max="43" width="7.25" style="3" customWidth="1"/>
    <col min="44" max="49" width="6.375" style="3" customWidth="1"/>
    <col min="50" max="1026" width="8.5" style="3"/>
  </cols>
  <sheetData>
    <row r="1" spans="1:1026" ht="31.5" customHeight="1">
      <c r="A1" s="1073" t="s">
        <v>13</v>
      </c>
      <c r="B1" s="1073"/>
      <c r="C1" s="1073"/>
      <c r="D1" s="1073"/>
      <c r="E1" s="1073"/>
      <c r="F1" s="1073"/>
      <c r="G1" s="1073"/>
      <c r="H1" s="1074" t="s">
        <v>49</v>
      </c>
      <c r="I1" s="1075" t="s">
        <v>50</v>
      </c>
      <c r="J1" s="1075"/>
      <c r="K1" s="1075" t="s">
        <v>51</v>
      </c>
      <c r="L1" s="1075"/>
      <c r="M1" s="1075" t="s">
        <v>52</v>
      </c>
      <c r="N1" s="1075"/>
      <c r="O1" s="1081" t="s">
        <v>53</v>
      </c>
      <c r="P1" s="1081"/>
      <c r="Q1" s="1075" t="s">
        <v>54</v>
      </c>
      <c r="R1" s="1075"/>
      <c r="S1" s="40" t="s">
        <v>55</v>
      </c>
      <c r="T1" s="1082" t="s">
        <v>56</v>
      </c>
      <c r="U1" s="1082"/>
      <c r="V1" s="1083" t="s">
        <v>57</v>
      </c>
      <c r="W1" s="1083"/>
      <c r="X1" s="1076" t="s">
        <v>58</v>
      </c>
      <c r="Y1" s="1076"/>
      <c r="Z1" s="1080" t="s">
        <v>59</v>
      </c>
      <c r="AA1" s="1080"/>
      <c r="AB1" s="1076" t="s">
        <v>441</v>
      </c>
      <c r="AC1" s="1076"/>
      <c r="AD1" s="1077" t="s">
        <v>60</v>
      </c>
      <c r="AE1" s="1078"/>
      <c r="AF1" s="1077" t="s">
        <v>61</v>
      </c>
      <c r="AG1" s="1079"/>
      <c r="AH1" s="881" t="s">
        <v>491</v>
      </c>
      <c r="AI1" s="881" t="s">
        <v>506</v>
      </c>
      <c r="AJ1" s="1066" t="s">
        <v>533</v>
      </c>
      <c r="AK1" s="834"/>
    </row>
    <row r="2" spans="1:1026">
      <c r="A2" s="1073"/>
      <c r="B2" s="1073"/>
      <c r="C2" s="1073"/>
      <c r="D2" s="1073"/>
      <c r="E2" s="1073"/>
      <c r="F2" s="1073"/>
      <c r="G2" s="1073"/>
      <c r="H2" s="1074"/>
      <c r="I2" s="41" t="s">
        <v>62</v>
      </c>
      <c r="J2" s="42" t="s">
        <v>496</v>
      </c>
      <c r="K2" s="41" t="s">
        <v>62</v>
      </c>
      <c r="L2" s="42" t="s">
        <v>498</v>
      </c>
      <c r="M2" s="41" t="s">
        <v>52</v>
      </c>
      <c r="N2" s="42" t="s">
        <v>497</v>
      </c>
      <c r="O2" s="43" t="s">
        <v>62</v>
      </c>
      <c r="P2" s="44" t="s">
        <v>63</v>
      </c>
      <c r="Q2" s="43" t="s">
        <v>62</v>
      </c>
      <c r="R2" s="42" t="s">
        <v>64</v>
      </c>
      <c r="S2" s="45" t="s">
        <v>62</v>
      </c>
      <c r="T2" s="45" t="s">
        <v>62</v>
      </c>
      <c r="U2" s="46" t="s">
        <v>65</v>
      </c>
      <c r="V2" s="45" t="s">
        <v>62</v>
      </c>
      <c r="W2" s="47" t="s">
        <v>66</v>
      </c>
      <c r="X2" s="48" t="s">
        <v>62</v>
      </c>
      <c r="Y2" s="49" t="s">
        <v>67</v>
      </c>
      <c r="Z2" s="50" t="s">
        <v>62</v>
      </c>
      <c r="AA2" s="872" t="s">
        <v>68</v>
      </c>
      <c r="AB2" s="50" t="s">
        <v>62</v>
      </c>
      <c r="AC2" s="49" t="s">
        <v>68</v>
      </c>
      <c r="AD2" s="50" t="s">
        <v>62</v>
      </c>
      <c r="AE2" s="835" t="s">
        <v>490</v>
      </c>
      <c r="AF2" s="50" t="s">
        <v>62</v>
      </c>
      <c r="AG2" s="839" t="s">
        <v>489</v>
      </c>
      <c r="AH2" s="50" t="s">
        <v>62</v>
      </c>
      <c r="AI2" s="50" t="s">
        <v>62</v>
      </c>
      <c r="AJ2" s="1047" t="s">
        <v>62</v>
      </c>
      <c r="AK2" s="696" t="s">
        <v>69</v>
      </c>
    </row>
    <row r="3" spans="1:1026">
      <c r="A3" s="51">
        <v>3</v>
      </c>
      <c r="B3" s="52" t="s">
        <v>16</v>
      </c>
      <c r="C3" s="52">
        <v>0</v>
      </c>
      <c r="D3" s="52" t="s">
        <v>16</v>
      </c>
      <c r="E3" s="53" t="s">
        <v>70</v>
      </c>
      <c r="F3" s="52" t="s">
        <v>16</v>
      </c>
      <c r="G3" s="54" t="s">
        <v>70</v>
      </c>
      <c r="H3" s="55" t="s">
        <v>71</v>
      </c>
      <c r="I3" s="56"/>
      <c r="J3" s="57"/>
      <c r="K3" s="56"/>
      <c r="L3" s="57"/>
      <c r="M3" s="57"/>
      <c r="N3" s="57"/>
      <c r="O3" s="58"/>
      <c r="P3" s="59"/>
      <c r="Q3" s="58"/>
      <c r="R3" s="59"/>
      <c r="S3" s="60"/>
      <c r="T3" s="60"/>
      <c r="U3" s="60"/>
      <c r="V3" s="60"/>
      <c r="W3" s="61"/>
      <c r="X3" s="62"/>
      <c r="Y3" s="63"/>
      <c r="Z3" s="64"/>
      <c r="AA3" s="64"/>
      <c r="AB3" s="64"/>
      <c r="AC3" s="64"/>
      <c r="AD3" s="64"/>
      <c r="AE3" s="64"/>
      <c r="AF3" s="64"/>
      <c r="AG3" s="742"/>
      <c r="AH3" s="64"/>
      <c r="AI3" s="64"/>
      <c r="AJ3" s="64"/>
      <c r="AK3" s="697"/>
      <c r="AL3" s="514"/>
      <c r="AM3" s="65"/>
      <c r="AN3" s="65"/>
      <c r="AO3" s="65"/>
      <c r="AP3" s="65"/>
      <c r="AQ3" s="65"/>
      <c r="AR3" s="65"/>
      <c r="AS3" s="65"/>
      <c r="AT3" s="65"/>
      <c r="AU3" s="65"/>
      <c r="AV3" s="65"/>
      <c r="AW3" s="65"/>
    </row>
    <row r="4" spans="1:1026">
      <c r="A4" s="66">
        <v>3</v>
      </c>
      <c r="B4" s="67" t="s">
        <v>16</v>
      </c>
      <c r="C4" s="67">
        <v>1</v>
      </c>
      <c r="D4" s="67" t="s">
        <v>16</v>
      </c>
      <c r="E4" s="68" t="s">
        <v>70</v>
      </c>
      <c r="F4" s="67" t="s">
        <v>16</v>
      </c>
      <c r="G4" s="69" t="s">
        <v>70</v>
      </c>
      <c r="H4" s="70" t="s">
        <v>72</v>
      </c>
      <c r="I4" s="71"/>
      <c r="J4" s="72"/>
      <c r="K4" s="71"/>
      <c r="L4" s="72"/>
      <c r="M4" s="72"/>
      <c r="N4" s="72"/>
      <c r="O4" s="73"/>
      <c r="P4" s="74"/>
      <c r="Q4" s="73"/>
      <c r="R4" s="74"/>
      <c r="S4" s="75"/>
      <c r="T4" s="75"/>
      <c r="U4" s="75"/>
      <c r="V4" s="75"/>
      <c r="W4" s="76"/>
      <c r="X4" s="77"/>
      <c r="Y4" s="78"/>
      <c r="Z4" s="79"/>
      <c r="AA4" s="79"/>
      <c r="AB4" s="79"/>
      <c r="AC4" s="79"/>
      <c r="AD4" s="79"/>
      <c r="AE4" s="79"/>
      <c r="AF4" s="79"/>
      <c r="AG4" s="743"/>
      <c r="AH4" s="79"/>
      <c r="AI4" s="79"/>
      <c r="AJ4" s="79"/>
      <c r="AK4" s="698"/>
    </row>
    <row r="5" spans="1:1026">
      <c r="A5" s="80"/>
      <c r="B5" s="14"/>
      <c r="C5" s="14"/>
      <c r="D5" s="14"/>
      <c r="E5" s="15"/>
      <c r="F5" s="14"/>
      <c r="G5" s="81"/>
      <c r="H5" s="82"/>
      <c r="I5" s="83"/>
      <c r="J5" s="84"/>
      <c r="K5" s="83"/>
      <c r="L5" s="84"/>
      <c r="M5" s="83"/>
      <c r="N5" s="84"/>
      <c r="O5" s="85"/>
      <c r="P5" s="86"/>
      <c r="Q5" s="85"/>
      <c r="R5" s="86"/>
      <c r="S5" s="87"/>
      <c r="T5" s="87"/>
      <c r="U5" s="87"/>
      <c r="V5" s="87"/>
      <c r="W5" s="88"/>
      <c r="X5" s="89"/>
      <c r="Y5" s="90"/>
      <c r="Z5" s="91"/>
      <c r="AA5" s="92"/>
      <c r="AB5" s="91"/>
      <c r="AC5" s="92"/>
      <c r="AD5" s="91"/>
      <c r="AE5" s="92"/>
      <c r="AF5" s="91"/>
      <c r="AG5" s="744"/>
      <c r="AH5" s="91"/>
      <c r="AI5" s="91"/>
      <c r="AJ5" s="91"/>
      <c r="AK5" s="699"/>
    </row>
    <row r="6" spans="1:1026">
      <c r="A6" s="80">
        <v>3</v>
      </c>
      <c r="B6" s="14" t="s">
        <v>16</v>
      </c>
      <c r="C6" s="14">
        <v>1</v>
      </c>
      <c r="D6" s="14" t="s">
        <v>16</v>
      </c>
      <c r="E6" s="15" t="s">
        <v>73</v>
      </c>
      <c r="F6" s="14" t="s">
        <v>16</v>
      </c>
      <c r="G6" s="81" t="s">
        <v>70</v>
      </c>
      <c r="H6" s="93" t="s">
        <v>74</v>
      </c>
      <c r="I6" s="94">
        <v>0</v>
      </c>
      <c r="J6" s="95">
        <v>0</v>
      </c>
      <c r="K6" s="94">
        <v>0</v>
      </c>
      <c r="L6" s="95">
        <v>0</v>
      </c>
      <c r="M6" s="94">
        <v>0</v>
      </c>
      <c r="N6" s="95">
        <v>0</v>
      </c>
      <c r="O6" s="96">
        <v>0</v>
      </c>
      <c r="P6" s="97">
        <v>0</v>
      </c>
      <c r="Q6" s="98">
        <v>0</v>
      </c>
      <c r="R6" s="97">
        <v>0</v>
      </c>
      <c r="S6" s="99">
        <v>0</v>
      </c>
      <c r="T6" s="99">
        <v>0</v>
      </c>
      <c r="U6" s="99"/>
      <c r="V6" s="99">
        <v>0</v>
      </c>
      <c r="W6" s="100">
        <v>0</v>
      </c>
      <c r="X6" s="101">
        <v>0</v>
      </c>
      <c r="Y6" s="102">
        <v>0</v>
      </c>
      <c r="Z6" s="103">
        <v>0</v>
      </c>
      <c r="AA6" s="104">
        <v>0</v>
      </c>
      <c r="AB6" s="103">
        <v>0</v>
      </c>
      <c r="AC6" s="104">
        <v>0</v>
      </c>
      <c r="AD6" s="103">
        <v>0</v>
      </c>
      <c r="AE6" s="104">
        <v>0</v>
      </c>
      <c r="AF6" s="103">
        <v>0</v>
      </c>
      <c r="AG6" s="666">
        <v>0</v>
      </c>
      <c r="AH6" s="103">
        <v>0</v>
      </c>
      <c r="AI6" s="103">
        <v>0</v>
      </c>
      <c r="AJ6" s="103">
        <v>0</v>
      </c>
      <c r="AK6" s="700"/>
    </row>
    <row r="7" spans="1:1026">
      <c r="A7" s="80">
        <v>3</v>
      </c>
      <c r="B7" s="14" t="s">
        <v>16</v>
      </c>
      <c r="C7" s="14">
        <v>1</v>
      </c>
      <c r="D7" s="14" t="s">
        <v>16</v>
      </c>
      <c r="E7" s="15" t="s">
        <v>75</v>
      </c>
      <c r="F7" s="14" t="s">
        <v>16</v>
      </c>
      <c r="G7" s="81" t="s">
        <v>70</v>
      </c>
      <c r="H7" s="93" t="s">
        <v>76</v>
      </c>
      <c r="I7" s="94">
        <v>0</v>
      </c>
      <c r="J7" s="95">
        <v>0</v>
      </c>
      <c r="K7" s="94">
        <v>0</v>
      </c>
      <c r="L7" s="95">
        <v>0</v>
      </c>
      <c r="M7" s="94">
        <v>0</v>
      </c>
      <c r="N7" s="95">
        <v>0</v>
      </c>
      <c r="O7" s="96">
        <v>0</v>
      </c>
      <c r="P7" s="97">
        <v>0</v>
      </c>
      <c r="Q7" s="98">
        <v>0</v>
      </c>
      <c r="R7" s="97">
        <v>0</v>
      </c>
      <c r="S7" s="99">
        <v>0</v>
      </c>
      <c r="T7" s="99">
        <v>0</v>
      </c>
      <c r="U7" s="99"/>
      <c r="V7" s="99">
        <v>0</v>
      </c>
      <c r="W7" s="100">
        <v>0</v>
      </c>
      <c r="X7" s="101">
        <v>0</v>
      </c>
      <c r="Y7" s="102">
        <v>50000</v>
      </c>
      <c r="Z7" s="103">
        <v>50000</v>
      </c>
      <c r="AA7" s="104">
        <v>50121.25</v>
      </c>
      <c r="AB7" s="103">
        <v>0</v>
      </c>
      <c r="AC7" s="104">
        <v>50121.25</v>
      </c>
      <c r="AD7" s="103">
        <v>0</v>
      </c>
      <c r="AE7" s="104">
        <v>5747.81</v>
      </c>
      <c r="AF7" s="103">
        <v>0</v>
      </c>
      <c r="AG7" s="666"/>
      <c r="AH7" s="103">
        <v>0</v>
      </c>
      <c r="AI7" s="103">
        <v>0</v>
      </c>
      <c r="AJ7" s="103">
        <v>0</v>
      </c>
      <c r="AK7" s="700"/>
      <c r="AM7" s="106"/>
      <c r="AN7" s="106"/>
    </row>
    <row r="8" spans="1:1026">
      <c r="A8" s="80">
        <v>3</v>
      </c>
      <c r="B8" s="14" t="s">
        <v>16</v>
      </c>
      <c r="C8" s="14">
        <v>1</v>
      </c>
      <c r="D8" s="14" t="s">
        <v>16</v>
      </c>
      <c r="E8" s="15" t="s">
        <v>75</v>
      </c>
      <c r="F8" s="14" t="s">
        <v>16</v>
      </c>
      <c r="G8" s="81" t="s">
        <v>77</v>
      </c>
      <c r="H8" s="107" t="s">
        <v>78</v>
      </c>
      <c r="I8" s="108"/>
      <c r="J8" s="109"/>
      <c r="K8" s="108"/>
      <c r="L8" s="109"/>
      <c r="M8" s="108"/>
      <c r="N8" s="109"/>
      <c r="O8" s="110">
        <v>2000</v>
      </c>
      <c r="P8" s="111">
        <v>0</v>
      </c>
      <c r="Q8" s="112">
        <v>0</v>
      </c>
      <c r="R8" s="111">
        <v>0</v>
      </c>
      <c r="S8" s="113">
        <v>0</v>
      </c>
      <c r="T8" s="113">
        <v>0</v>
      </c>
      <c r="U8" s="113"/>
      <c r="V8" s="113">
        <v>0</v>
      </c>
      <c r="W8" s="114">
        <v>173.6</v>
      </c>
      <c r="X8" s="115">
        <v>0</v>
      </c>
      <c r="Y8" s="116">
        <v>0</v>
      </c>
      <c r="Z8" s="117">
        <v>0</v>
      </c>
      <c r="AA8" s="118">
        <v>0</v>
      </c>
      <c r="AB8" s="117">
        <v>0</v>
      </c>
      <c r="AC8" s="118">
        <v>0</v>
      </c>
      <c r="AD8" s="117">
        <v>0</v>
      </c>
      <c r="AE8" s="118"/>
      <c r="AF8" s="117">
        <v>0</v>
      </c>
      <c r="AG8" s="745"/>
      <c r="AH8" s="117">
        <v>0</v>
      </c>
      <c r="AI8" s="117">
        <v>0</v>
      </c>
      <c r="AJ8" s="117">
        <v>0</v>
      </c>
      <c r="AK8" s="700"/>
      <c r="AM8" s="106"/>
      <c r="AN8" s="106"/>
    </row>
    <row r="9" spans="1:1026">
      <c r="A9" s="80">
        <v>3</v>
      </c>
      <c r="B9" s="14" t="s">
        <v>16</v>
      </c>
      <c r="C9" s="14">
        <v>1</v>
      </c>
      <c r="D9" s="14" t="s">
        <v>16</v>
      </c>
      <c r="E9" s="15" t="s">
        <v>79</v>
      </c>
      <c r="F9" s="14" t="s">
        <v>16</v>
      </c>
      <c r="G9" s="81" t="s">
        <v>70</v>
      </c>
      <c r="H9" s="93" t="s">
        <v>80</v>
      </c>
      <c r="I9" s="108"/>
      <c r="J9" s="109"/>
      <c r="K9" s="108"/>
      <c r="L9" s="109"/>
      <c r="M9" s="108"/>
      <c r="N9" s="109"/>
      <c r="O9" s="119"/>
      <c r="P9" s="120"/>
      <c r="Q9" s="121"/>
      <c r="R9" s="120"/>
      <c r="S9" s="113"/>
      <c r="T9" s="113"/>
      <c r="U9" s="113"/>
      <c r="V9" s="113"/>
      <c r="W9" s="114"/>
      <c r="X9" s="115"/>
      <c r="Y9" s="116"/>
      <c r="Z9" s="117"/>
      <c r="AA9" s="118"/>
      <c r="AB9" s="117"/>
      <c r="AC9" s="118"/>
      <c r="AD9" s="117"/>
      <c r="AE9" s="118"/>
      <c r="AF9" s="117"/>
      <c r="AG9" s="745"/>
      <c r="AH9" s="117"/>
      <c r="AI9" s="117"/>
      <c r="AJ9" s="117"/>
      <c r="AK9" s="700"/>
      <c r="AM9" s="106"/>
      <c r="AN9" s="106"/>
    </row>
    <row r="10" spans="1:1026" ht="25.5">
      <c r="A10" s="80">
        <v>3</v>
      </c>
      <c r="B10" s="14" t="s">
        <v>16</v>
      </c>
      <c r="C10" s="14">
        <v>1</v>
      </c>
      <c r="D10" s="14" t="s">
        <v>16</v>
      </c>
      <c r="E10" s="15" t="s">
        <v>79</v>
      </c>
      <c r="F10" s="14" t="s">
        <v>16</v>
      </c>
      <c r="G10" s="81" t="s">
        <v>81</v>
      </c>
      <c r="H10" s="107" t="s">
        <v>82</v>
      </c>
      <c r="I10" s="94">
        <v>10000</v>
      </c>
      <c r="J10" s="95">
        <v>7400</v>
      </c>
      <c r="K10" s="94">
        <v>10000</v>
      </c>
      <c r="L10" s="95">
        <v>4145</v>
      </c>
      <c r="M10" s="122">
        <v>7500</v>
      </c>
      <c r="N10" s="123">
        <v>4020</v>
      </c>
      <c r="O10" s="98">
        <v>10000</v>
      </c>
      <c r="P10" s="124">
        <v>2215</v>
      </c>
      <c r="Q10" s="98">
        <v>8000</v>
      </c>
      <c r="R10" s="124">
        <v>2280</v>
      </c>
      <c r="S10" s="125">
        <v>10000</v>
      </c>
      <c r="T10" s="125">
        <v>10000</v>
      </c>
      <c r="U10" s="125"/>
      <c r="V10" s="125">
        <v>10000</v>
      </c>
      <c r="W10" s="126">
        <v>2260</v>
      </c>
      <c r="X10" s="101">
        <v>5000</v>
      </c>
      <c r="Y10" s="102">
        <v>2844</v>
      </c>
      <c r="Z10" s="101">
        <v>5000</v>
      </c>
      <c r="AA10" s="127">
        <v>3774</v>
      </c>
      <c r="AB10" s="101">
        <v>5000</v>
      </c>
      <c r="AC10" s="127">
        <v>3774</v>
      </c>
      <c r="AD10" s="101">
        <v>4500</v>
      </c>
      <c r="AE10" s="127">
        <v>1515</v>
      </c>
      <c r="AF10" s="101">
        <v>4500</v>
      </c>
      <c r="AG10" s="746">
        <v>1220</v>
      </c>
      <c r="AH10" s="101">
        <v>4500</v>
      </c>
      <c r="AI10" s="101">
        <v>4500</v>
      </c>
      <c r="AJ10" s="101">
        <v>4500</v>
      </c>
      <c r="AK10" s="700" t="s">
        <v>83</v>
      </c>
      <c r="AM10" s="106"/>
      <c r="AN10" s="106"/>
    </row>
    <row r="11" spans="1:1026" ht="51">
      <c r="A11" s="128">
        <v>3</v>
      </c>
      <c r="B11" s="129" t="s">
        <v>16</v>
      </c>
      <c r="C11" s="129">
        <v>1</v>
      </c>
      <c r="D11" s="129" t="s">
        <v>16</v>
      </c>
      <c r="E11" s="130" t="s">
        <v>79</v>
      </c>
      <c r="F11" s="129" t="s">
        <v>16</v>
      </c>
      <c r="G11" s="131" t="s">
        <v>84</v>
      </c>
      <c r="H11" s="107" t="s">
        <v>85</v>
      </c>
      <c r="I11" s="95">
        <v>0</v>
      </c>
      <c r="J11" s="95">
        <v>0</v>
      </c>
      <c r="K11" s="94">
        <v>5000</v>
      </c>
      <c r="L11" s="95">
        <v>0</v>
      </c>
      <c r="M11" s="94">
        <v>0</v>
      </c>
      <c r="N11" s="95">
        <v>0</v>
      </c>
      <c r="O11" s="96">
        <v>5000</v>
      </c>
      <c r="P11" s="97">
        <v>0</v>
      </c>
      <c r="Q11" s="98">
        <v>5000</v>
      </c>
      <c r="R11" s="97">
        <v>0</v>
      </c>
      <c r="S11" s="99">
        <v>5000</v>
      </c>
      <c r="T11" s="99">
        <v>5000</v>
      </c>
      <c r="U11" s="99"/>
      <c r="V11" s="99">
        <v>5000</v>
      </c>
      <c r="W11" s="100">
        <v>0</v>
      </c>
      <c r="X11" s="101">
        <v>5000</v>
      </c>
      <c r="Y11" s="102">
        <v>0</v>
      </c>
      <c r="Z11" s="132">
        <v>2000</v>
      </c>
      <c r="AA11" s="133">
        <v>1347.66</v>
      </c>
      <c r="AB11" s="132">
        <v>3000</v>
      </c>
      <c r="AC11" s="133">
        <v>1347.66</v>
      </c>
      <c r="AD11" s="132">
        <v>25000</v>
      </c>
      <c r="AE11" s="133"/>
      <c r="AF11" s="841">
        <v>20000</v>
      </c>
      <c r="AG11" s="134"/>
      <c r="AH11" s="669">
        <v>0</v>
      </c>
      <c r="AI11" s="669">
        <v>0</v>
      </c>
      <c r="AJ11" s="669">
        <v>0</v>
      </c>
      <c r="AK11" s="870" t="s">
        <v>503</v>
      </c>
      <c r="AM11" s="106"/>
      <c r="AN11" s="106"/>
    </row>
    <row r="12" spans="1:1026" s="902" customFormat="1">
      <c r="A12" s="882">
        <v>3</v>
      </c>
      <c r="B12" s="883" t="s">
        <v>16</v>
      </c>
      <c r="C12" s="883">
        <v>1</v>
      </c>
      <c r="D12" s="883" t="s">
        <v>16</v>
      </c>
      <c r="E12" s="884" t="s">
        <v>79</v>
      </c>
      <c r="F12" s="883" t="s">
        <v>16</v>
      </c>
      <c r="G12" s="885" t="s">
        <v>86</v>
      </c>
      <c r="H12" s="945" t="s">
        <v>87</v>
      </c>
      <c r="I12" s="916">
        <v>4000</v>
      </c>
      <c r="J12" s="915">
        <v>3013.06</v>
      </c>
      <c r="K12" s="916">
        <v>10000</v>
      </c>
      <c r="L12" s="915">
        <v>2301.98</v>
      </c>
      <c r="M12" s="916">
        <v>10000</v>
      </c>
      <c r="N12" s="915">
        <v>2301.98</v>
      </c>
      <c r="O12" s="917">
        <v>10000</v>
      </c>
      <c r="P12" s="957">
        <v>0</v>
      </c>
      <c r="Q12" s="958">
        <v>8000</v>
      </c>
      <c r="R12" s="957">
        <v>0</v>
      </c>
      <c r="S12" s="918">
        <v>10000</v>
      </c>
      <c r="T12" s="918">
        <v>10000</v>
      </c>
      <c r="U12" s="918"/>
      <c r="V12" s="918">
        <v>10000</v>
      </c>
      <c r="W12" s="948">
        <v>0</v>
      </c>
      <c r="X12" s="921">
        <v>3000</v>
      </c>
      <c r="Y12" s="922">
        <v>0</v>
      </c>
      <c r="Z12" s="959">
        <v>1000</v>
      </c>
      <c r="AA12" s="960">
        <v>0</v>
      </c>
      <c r="AB12" s="959">
        <v>1000</v>
      </c>
      <c r="AC12" s="960">
        <v>0</v>
      </c>
      <c r="AD12" s="959">
        <v>1000</v>
      </c>
      <c r="AE12" s="960"/>
      <c r="AF12" s="959">
        <v>1000</v>
      </c>
      <c r="AG12" s="961"/>
      <c r="AH12" s="959">
        <v>1000</v>
      </c>
      <c r="AI12" s="959">
        <v>0</v>
      </c>
      <c r="AJ12" s="940">
        <v>0</v>
      </c>
      <c r="AK12" s="962"/>
      <c r="AL12" s="899"/>
      <c r="AM12" s="900"/>
      <c r="AN12" s="900"/>
      <c r="AO12" s="901"/>
      <c r="AP12" s="901"/>
      <c r="AQ12" s="901"/>
      <c r="AR12" s="901"/>
      <c r="AS12" s="901"/>
      <c r="AT12" s="901"/>
      <c r="AU12" s="901"/>
      <c r="AV12" s="901"/>
      <c r="AW12" s="901"/>
      <c r="AX12" s="901"/>
      <c r="AY12" s="901"/>
      <c r="AZ12" s="901"/>
      <c r="BA12" s="901"/>
      <c r="BB12" s="901"/>
      <c r="BC12" s="901"/>
      <c r="BD12" s="901"/>
      <c r="BE12" s="901"/>
      <c r="BF12" s="901"/>
      <c r="BG12" s="901"/>
      <c r="BH12" s="901"/>
      <c r="BI12" s="901"/>
      <c r="BJ12" s="901"/>
      <c r="BK12" s="901"/>
      <c r="BL12" s="901"/>
      <c r="BM12" s="901"/>
      <c r="BN12" s="901"/>
      <c r="BO12" s="901"/>
      <c r="BP12" s="901"/>
      <c r="BQ12" s="901"/>
      <c r="BR12" s="901"/>
      <c r="BS12" s="901"/>
      <c r="BT12" s="901"/>
      <c r="BU12" s="901"/>
      <c r="BV12" s="901"/>
      <c r="BW12" s="901"/>
      <c r="BX12" s="901"/>
      <c r="BY12" s="901"/>
      <c r="BZ12" s="901"/>
      <c r="CA12" s="901"/>
      <c r="CB12" s="901"/>
      <c r="CC12" s="901"/>
      <c r="CD12" s="901"/>
      <c r="CE12" s="901"/>
      <c r="CF12" s="901"/>
      <c r="CG12" s="901"/>
      <c r="CH12" s="901"/>
      <c r="CI12" s="901"/>
      <c r="CJ12" s="901"/>
      <c r="CK12" s="901"/>
      <c r="CL12" s="901"/>
      <c r="CM12" s="901"/>
      <c r="CN12" s="901"/>
      <c r="CO12" s="901"/>
      <c r="CP12" s="901"/>
      <c r="CQ12" s="901"/>
      <c r="CR12" s="901"/>
      <c r="CS12" s="901"/>
      <c r="CT12" s="901"/>
      <c r="CU12" s="901"/>
      <c r="CV12" s="901"/>
      <c r="CW12" s="901"/>
      <c r="CX12" s="901"/>
      <c r="CY12" s="901"/>
      <c r="CZ12" s="901"/>
      <c r="DA12" s="901"/>
      <c r="DB12" s="901"/>
      <c r="DC12" s="901"/>
      <c r="DD12" s="901"/>
      <c r="DE12" s="901"/>
      <c r="DF12" s="901"/>
      <c r="DG12" s="901"/>
      <c r="DH12" s="901"/>
      <c r="DI12" s="901"/>
      <c r="DJ12" s="901"/>
      <c r="DK12" s="901"/>
      <c r="DL12" s="901"/>
      <c r="DM12" s="901"/>
      <c r="DN12" s="901"/>
      <c r="DO12" s="901"/>
      <c r="DP12" s="901"/>
      <c r="DQ12" s="901"/>
      <c r="DR12" s="901"/>
      <c r="DS12" s="901"/>
      <c r="DT12" s="901"/>
      <c r="DU12" s="901"/>
      <c r="DV12" s="901"/>
      <c r="DW12" s="901"/>
      <c r="DX12" s="901"/>
      <c r="DY12" s="901"/>
      <c r="DZ12" s="901"/>
      <c r="EA12" s="901"/>
      <c r="EB12" s="901"/>
      <c r="EC12" s="901"/>
      <c r="ED12" s="901"/>
      <c r="EE12" s="901"/>
      <c r="EF12" s="901"/>
      <c r="EG12" s="901"/>
      <c r="EH12" s="901"/>
      <c r="EI12" s="901"/>
      <c r="EJ12" s="901"/>
      <c r="EK12" s="901"/>
      <c r="EL12" s="901"/>
      <c r="EM12" s="901"/>
      <c r="EN12" s="901"/>
      <c r="EO12" s="901"/>
      <c r="EP12" s="901"/>
      <c r="EQ12" s="901"/>
      <c r="ER12" s="901"/>
      <c r="ES12" s="901"/>
      <c r="ET12" s="901"/>
      <c r="EU12" s="901"/>
      <c r="EV12" s="901"/>
      <c r="EW12" s="901"/>
      <c r="EX12" s="901"/>
      <c r="EY12" s="901"/>
      <c r="EZ12" s="901"/>
      <c r="FA12" s="901"/>
      <c r="FB12" s="901"/>
      <c r="FC12" s="901"/>
      <c r="FD12" s="901"/>
      <c r="FE12" s="901"/>
      <c r="FF12" s="901"/>
      <c r="FG12" s="901"/>
      <c r="FH12" s="901"/>
      <c r="FI12" s="901"/>
      <c r="FJ12" s="901"/>
      <c r="FK12" s="901"/>
      <c r="FL12" s="901"/>
      <c r="FM12" s="901"/>
      <c r="FN12" s="901"/>
      <c r="FO12" s="901"/>
      <c r="FP12" s="901"/>
      <c r="FQ12" s="901"/>
      <c r="FR12" s="901"/>
      <c r="FS12" s="901"/>
      <c r="FT12" s="901"/>
      <c r="FU12" s="901"/>
      <c r="FV12" s="901"/>
      <c r="FW12" s="901"/>
      <c r="FX12" s="901"/>
      <c r="FY12" s="901"/>
      <c r="FZ12" s="901"/>
      <c r="GA12" s="901"/>
      <c r="GB12" s="901"/>
      <c r="GC12" s="901"/>
      <c r="GD12" s="901"/>
      <c r="GE12" s="901"/>
      <c r="GF12" s="901"/>
      <c r="GG12" s="901"/>
      <c r="GH12" s="901"/>
      <c r="GI12" s="901"/>
      <c r="GJ12" s="901"/>
      <c r="GK12" s="901"/>
      <c r="GL12" s="901"/>
      <c r="GM12" s="901"/>
      <c r="GN12" s="901"/>
      <c r="GO12" s="901"/>
      <c r="GP12" s="901"/>
      <c r="GQ12" s="901"/>
      <c r="GR12" s="901"/>
      <c r="GS12" s="901"/>
      <c r="GT12" s="901"/>
      <c r="GU12" s="901"/>
      <c r="GV12" s="901"/>
      <c r="GW12" s="901"/>
      <c r="GX12" s="901"/>
      <c r="GY12" s="901"/>
      <c r="GZ12" s="901"/>
      <c r="HA12" s="901"/>
      <c r="HB12" s="901"/>
      <c r="HC12" s="901"/>
      <c r="HD12" s="901"/>
      <c r="HE12" s="901"/>
      <c r="HF12" s="901"/>
      <c r="HG12" s="901"/>
      <c r="HH12" s="901"/>
      <c r="HI12" s="901"/>
      <c r="HJ12" s="901"/>
      <c r="HK12" s="901"/>
      <c r="HL12" s="901"/>
      <c r="HM12" s="901"/>
      <c r="HN12" s="901"/>
      <c r="HO12" s="901"/>
      <c r="HP12" s="901"/>
      <c r="HQ12" s="901"/>
      <c r="HR12" s="901"/>
      <c r="HS12" s="901"/>
      <c r="HT12" s="901"/>
      <c r="HU12" s="901"/>
      <c r="HV12" s="901"/>
      <c r="HW12" s="901"/>
      <c r="HX12" s="901"/>
      <c r="HY12" s="901"/>
      <c r="HZ12" s="901"/>
      <c r="IA12" s="901"/>
      <c r="IB12" s="901"/>
      <c r="IC12" s="901"/>
      <c r="ID12" s="901"/>
      <c r="IE12" s="901"/>
      <c r="IF12" s="901"/>
      <c r="IG12" s="901"/>
      <c r="IH12" s="901"/>
      <c r="II12" s="901"/>
      <c r="IJ12" s="901"/>
      <c r="IK12" s="901"/>
      <c r="IL12" s="901"/>
      <c r="IM12" s="901"/>
      <c r="IN12" s="901"/>
      <c r="IO12" s="901"/>
      <c r="IP12" s="901"/>
      <c r="IQ12" s="901"/>
      <c r="IR12" s="901"/>
      <c r="IS12" s="901"/>
      <c r="IT12" s="901"/>
      <c r="IU12" s="901"/>
      <c r="IV12" s="901"/>
      <c r="IW12" s="901"/>
      <c r="IX12" s="901"/>
      <c r="IY12" s="901"/>
      <c r="IZ12" s="901"/>
      <c r="JA12" s="901"/>
      <c r="JB12" s="901"/>
      <c r="JC12" s="901"/>
      <c r="JD12" s="901"/>
      <c r="JE12" s="901"/>
      <c r="JF12" s="901"/>
      <c r="JG12" s="901"/>
      <c r="JH12" s="901"/>
      <c r="JI12" s="901"/>
      <c r="JJ12" s="901"/>
      <c r="JK12" s="901"/>
      <c r="JL12" s="901"/>
      <c r="JM12" s="901"/>
      <c r="JN12" s="901"/>
      <c r="JO12" s="901"/>
      <c r="JP12" s="901"/>
      <c r="JQ12" s="901"/>
      <c r="JR12" s="901"/>
      <c r="JS12" s="901"/>
      <c r="JT12" s="901"/>
      <c r="JU12" s="901"/>
      <c r="JV12" s="901"/>
      <c r="JW12" s="901"/>
      <c r="JX12" s="901"/>
      <c r="JY12" s="901"/>
      <c r="JZ12" s="901"/>
      <c r="KA12" s="901"/>
      <c r="KB12" s="901"/>
      <c r="KC12" s="901"/>
      <c r="KD12" s="901"/>
      <c r="KE12" s="901"/>
      <c r="KF12" s="901"/>
      <c r="KG12" s="901"/>
      <c r="KH12" s="901"/>
      <c r="KI12" s="901"/>
      <c r="KJ12" s="901"/>
      <c r="KK12" s="901"/>
      <c r="KL12" s="901"/>
      <c r="KM12" s="901"/>
      <c r="KN12" s="901"/>
      <c r="KO12" s="901"/>
      <c r="KP12" s="901"/>
      <c r="KQ12" s="901"/>
      <c r="KR12" s="901"/>
      <c r="KS12" s="901"/>
      <c r="KT12" s="901"/>
      <c r="KU12" s="901"/>
      <c r="KV12" s="901"/>
      <c r="KW12" s="901"/>
      <c r="KX12" s="901"/>
      <c r="KY12" s="901"/>
      <c r="KZ12" s="901"/>
      <c r="LA12" s="901"/>
      <c r="LB12" s="901"/>
      <c r="LC12" s="901"/>
      <c r="LD12" s="901"/>
      <c r="LE12" s="901"/>
      <c r="LF12" s="901"/>
      <c r="LG12" s="901"/>
      <c r="LH12" s="901"/>
      <c r="LI12" s="901"/>
      <c r="LJ12" s="901"/>
      <c r="LK12" s="901"/>
      <c r="LL12" s="901"/>
      <c r="LM12" s="901"/>
      <c r="LN12" s="901"/>
      <c r="LO12" s="901"/>
      <c r="LP12" s="901"/>
      <c r="LQ12" s="901"/>
      <c r="LR12" s="901"/>
      <c r="LS12" s="901"/>
      <c r="LT12" s="901"/>
      <c r="LU12" s="901"/>
      <c r="LV12" s="901"/>
      <c r="LW12" s="901"/>
      <c r="LX12" s="901"/>
      <c r="LY12" s="901"/>
      <c r="LZ12" s="901"/>
      <c r="MA12" s="901"/>
      <c r="MB12" s="901"/>
      <c r="MC12" s="901"/>
      <c r="MD12" s="901"/>
      <c r="ME12" s="901"/>
      <c r="MF12" s="901"/>
      <c r="MG12" s="901"/>
      <c r="MH12" s="901"/>
      <c r="MI12" s="901"/>
      <c r="MJ12" s="901"/>
      <c r="MK12" s="901"/>
      <c r="ML12" s="901"/>
      <c r="MM12" s="901"/>
      <c r="MN12" s="901"/>
      <c r="MO12" s="901"/>
      <c r="MP12" s="901"/>
      <c r="MQ12" s="901"/>
      <c r="MR12" s="901"/>
      <c r="MS12" s="901"/>
      <c r="MT12" s="901"/>
      <c r="MU12" s="901"/>
      <c r="MV12" s="901"/>
      <c r="MW12" s="901"/>
      <c r="MX12" s="901"/>
      <c r="MY12" s="901"/>
      <c r="MZ12" s="901"/>
      <c r="NA12" s="901"/>
      <c r="NB12" s="901"/>
      <c r="NC12" s="901"/>
      <c r="ND12" s="901"/>
      <c r="NE12" s="901"/>
      <c r="NF12" s="901"/>
      <c r="NG12" s="901"/>
      <c r="NH12" s="901"/>
      <c r="NI12" s="901"/>
      <c r="NJ12" s="901"/>
      <c r="NK12" s="901"/>
      <c r="NL12" s="901"/>
      <c r="NM12" s="901"/>
      <c r="NN12" s="901"/>
      <c r="NO12" s="901"/>
      <c r="NP12" s="901"/>
      <c r="NQ12" s="901"/>
      <c r="NR12" s="901"/>
      <c r="NS12" s="901"/>
      <c r="NT12" s="901"/>
      <c r="NU12" s="901"/>
      <c r="NV12" s="901"/>
      <c r="NW12" s="901"/>
      <c r="NX12" s="901"/>
      <c r="NY12" s="901"/>
      <c r="NZ12" s="901"/>
      <c r="OA12" s="901"/>
      <c r="OB12" s="901"/>
      <c r="OC12" s="901"/>
      <c r="OD12" s="901"/>
      <c r="OE12" s="901"/>
      <c r="OF12" s="901"/>
      <c r="OG12" s="901"/>
      <c r="OH12" s="901"/>
      <c r="OI12" s="901"/>
      <c r="OJ12" s="901"/>
      <c r="OK12" s="901"/>
      <c r="OL12" s="901"/>
      <c r="OM12" s="901"/>
      <c r="ON12" s="901"/>
      <c r="OO12" s="901"/>
      <c r="OP12" s="901"/>
      <c r="OQ12" s="901"/>
      <c r="OR12" s="901"/>
      <c r="OS12" s="901"/>
      <c r="OT12" s="901"/>
      <c r="OU12" s="901"/>
      <c r="OV12" s="901"/>
      <c r="OW12" s="901"/>
      <c r="OX12" s="901"/>
      <c r="OY12" s="901"/>
      <c r="OZ12" s="901"/>
      <c r="PA12" s="901"/>
      <c r="PB12" s="901"/>
      <c r="PC12" s="901"/>
      <c r="PD12" s="901"/>
      <c r="PE12" s="901"/>
      <c r="PF12" s="901"/>
      <c r="PG12" s="901"/>
      <c r="PH12" s="901"/>
      <c r="PI12" s="901"/>
      <c r="PJ12" s="901"/>
      <c r="PK12" s="901"/>
      <c r="PL12" s="901"/>
      <c r="PM12" s="901"/>
      <c r="PN12" s="901"/>
      <c r="PO12" s="901"/>
      <c r="PP12" s="901"/>
      <c r="PQ12" s="901"/>
      <c r="PR12" s="901"/>
      <c r="PS12" s="901"/>
      <c r="PT12" s="901"/>
      <c r="PU12" s="901"/>
      <c r="PV12" s="901"/>
      <c r="PW12" s="901"/>
      <c r="PX12" s="901"/>
      <c r="PY12" s="901"/>
      <c r="PZ12" s="901"/>
      <c r="QA12" s="901"/>
      <c r="QB12" s="901"/>
      <c r="QC12" s="901"/>
      <c r="QD12" s="901"/>
      <c r="QE12" s="901"/>
      <c r="QF12" s="901"/>
      <c r="QG12" s="901"/>
      <c r="QH12" s="901"/>
      <c r="QI12" s="901"/>
      <c r="QJ12" s="901"/>
      <c r="QK12" s="901"/>
      <c r="QL12" s="901"/>
      <c r="QM12" s="901"/>
      <c r="QN12" s="901"/>
      <c r="QO12" s="901"/>
      <c r="QP12" s="901"/>
      <c r="QQ12" s="901"/>
      <c r="QR12" s="901"/>
      <c r="QS12" s="901"/>
      <c r="QT12" s="901"/>
      <c r="QU12" s="901"/>
      <c r="QV12" s="901"/>
      <c r="QW12" s="901"/>
      <c r="QX12" s="901"/>
      <c r="QY12" s="901"/>
      <c r="QZ12" s="901"/>
      <c r="RA12" s="901"/>
      <c r="RB12" s="901"/>
      <c r="RC12" s="901"/>
      <c r="RD12" s="901"/>
      <c r="RE12" s="901"/>
      <c r="RF12" s="901"/>
      <c r="RG12" s="901"/>
      <c r="RH12" s="901"/>
      <c r="RI12" s="901"/>
      <c r="RJ12" s="901"/>
      <c r="RK12" s="901"/>
      <c r="RL12" s="901"/>
      <c r="RM12" s="901"/>
      <c r="RN12" s="901"/>
      <c r="RO12" s="901"/>
      <c r="RP12" s="901"/>
      <c r="RQ12" s="901"/>
      <c r="RR12" s="901"/>
      <c r="RS12" s="901"/>
      <c r="RT12" s="901"/>
      <c r="RU12" s="901"/>
      <c r="RV12" s="901"/>
      <c r="RW12" s="901"/>
      <c r="RX12" s="901"/>
      <c r="RY12" s="901"/>
      <c r="RZ12" s="901"/>
      <c r="SA12" s="901"/>
      <c r="SB12" s="901"/>
      <c r="SC12" s="901"/>
      <c r="SD12" s="901"/>
      <c r="SE12" s="901"/>
      <c r="SF12" s="901"/>
      <c r="SG12" s="901"/>
      <c r="SH12" s="901"/>
      <c r="SI12" s="901"/>
      <c r="SJ12" s="901"/>
      <c r="SK12" s="901"/>
      <c r="SL12" s="901"/>
      <c r="SM12" s="901"/>
      <c r="SN12" s="901"/>
      <c r="SO12" s="901"/>
      <c r="SP12" s="901"/>
      <c r="SQ12" s="901"/>
      <c r="SR12" s="901"/>
      <c r="SS12" s="901"/>
      <c r="ST12" s="901"/>
      <c r="SU12" s="901"/>
      <c r="SV12" s="901"/>
      <c r="SW12" s="901"/>
      <c r="SX12" s="901"/>
      <c r="SY12" s="901"/>
      <c r="SZ12" s="901"/>
      <c r="TA12" s="901"/>
      <c r="TB12" s="901"/>
      <c r="TC12" s="901"/>
      <c r="TD12" s="901"/>
      <c r="TE12" s="901"/>
      <c r="TF12" s="901"/>
      <c r="TG12" s="901"/>
      <c r="TH12" s="901"/>
      <c r="TI12" s="901"/>
      <c r="TJ12" s="901"/>
      <c r="TK12" s="901"/>
      <c r="TL12" s="901"/>
      <c r="TM12" s="901"/>
      <c r="TN12" s="901"/>
      <c r="TO12" s="901"/>
      <c r="TP12" s="901"/>
      <c r="TQ12" s="901"/>
      <c r="TR12" s="901"/>
      <c r="TS12" s="901"/>
      <c r="TT12" s="901"/>
      <c r="TU12" s="901"/>
      <c r="TV12" s="901"/>
      <c r="TW12" s="901"/>
      <c r="TX12" s="901"/>
      <c r="TY12" s="901"/>
      <c r="TZ12" s="901"/>
      <c r="UA12" s="901"/>
      <c r="UB12" s="901"/>
      <c r="UC12" s="901"/>
      <c r="UD12" s="901"/>
      <c r="UE12" s="901"/>
      <c r="UF12" s="901"/>
      <c r="UG12" s="901"/>
      <c r="UH12" s="901"/>
      <c r="UI12" s="901"/>
      <c r="UJ12" s="901"/>
      <c r="UK12" s="901"/>
      <c r="UL12" s="901"/>
      <c r="UM12" s="901"/>
      <c r="UN12" s="901"/>
      <c r="UO12" s="901"/>
      <c r="UP12" s="901"/>
      <c r="UQ12" s="901"/>
      <c r="UR12" s="901"/>
      <c r="US12" s="901"/>
      <c r="UT12" s="901"/>
      <c r="UU12" s="901"/>
      <c r="UV12" s="901"/>
      <c r="UW12" s="901"/>
      <c r="UX12" s="901"/>
      <c r="UY12" s="901"/>
      <c r="UZ12" s="901"/>
      <c r="VA12" s="901"/>
      <c r="VB12" s="901"/>
      <c r="VC12" s="901"/>
      <c r="VD12" s="901"/>
      <c r="VE12" s="901"/>
      <c r="VF12" s="901"/>
      <c r="VG12" s="901"/>
      <c r="VH12" s="901"/>
      <c r="VI12" s="901"/>
      <c r="VJ12" s="901"/>
      <c r="VK12" s="901"/>
      <c r="VL12" s="901"/>
      <c r="VM12" s="901"/>
      <c r="VN12" s="901"/>
      <c r="VO12" s="901"/>
      <c r="VP12" s="901"/>
      <c r="VQ12" s="901"/>
      <c r="VR12" s="901"/>
      <c r="VS12" s="901"/>
      <c r="VT12" s="901"/>
      <c r="VU12" s="901"/>
      <c r="VV12" s="901"/>
      <c r="VW12" s="901"/>
      <c r="VX12" s="901"/>
      <c r="VY12" s="901"/>
      <c r="VZ12" s="901"/>
      <c r="WA12" s="901"/>
      <c r="WB12" s="901"/>
      <c r="WC12" s="901"/>
      <c r="WD12" s="901"/>
      <c r="WE12" s="901"/>
      <c r="WF12" s="901"/>
      <c r="WG12" s="901"/>
      <c r="WH12" s="901"/>
      <c r="WI12" s="901"/>
      <c r="WJ12" s="901"/>
      <c r="WK12" s="901"/>
      <c r="WL12" s="901"/>
      <c r="WM12" s="901"/>
      <c r="WN12" s="901"/>
      <c r="WO12" s="901"/>
      <c r="WP12" s="901"/>
      <c r="WQ12" s="901"/>
      <c r="WR12" s="901"/>
      <c r="WS12" s="901"/>
      <c r="WT12" s="901"/>
      <c r="WU12" s="901"/>
      <c r="WV12" s="901"/>
      <c r="WW12" s="901"/>
      <c r="WX12" s="901"/>
      <c r="WY12" s="901"/>
      <c r="WZ12" s="901"/>
      <c r="XA12" s="901"/>
      <c r="XB12" s="901"/>
      <c r="XC12" s="901"/>
      <c r="XD12" s="901"/>
      <c r="XE12" s="901"/>
      <c r="XF12" s="901"/>
      <c r="XG12" s="901"/>
      <c r="XH12" s="901"/>
      <c r="XI12" s="901"/>
      <c r="XJ12" s="901"/>
      <c r="XK12" s="901"/>
      <c r="XL12" s="901"/>
      <c r="XM12" s="901"/>
      <c r="XN12" s="901"/>
      <c r="XO12" s="901"/>
      <c r="XP12" s="901"/>
      <c r="XQ12" s="901"/>
      <c r="XR12" s="901"/>
      <c r="XS12" s="901"/>
      <c r="XT12" s="901"/>
      <c r="XU12" s="901"/>
      <c r="XV12" s="901"/>
      <c r="XW12" s="901"/>
      <c r="XX12" s="901"/>
      <c r="XY12" s="901"/>
      <c r="XZ12" s="901"/>
      <c r="YA12" s="901"/>
      <c r="YB12" s="901"/>
      <c r="YC12" s="901"/>
      <c r="YD12" s="901"/>
      <c r="YE12" s="901"/>
      <c r="YF12" s="901"/>
      <c r="YG12" s="901"/>
      <c r="YH12" s="901"/>
      <c r="YI12" s="901"/>
      <c r="YJ12" s="901"/>
      <c r="YK12" s="901"/>
      <c r="YL12" s="901"/>
      <c r="YM12" s="901"/>
      <c r="YN12" s="901"/>
      <c r="YO12" s="901"/>
      <c r="YP12" s="901"/>
      <c r="YQ12" s="901"/>
      <c r="YR12" s="901"/>
      <c r="YS12" s="901"/>
      <c r="YT12" s="901"/>
      <c r="YU12" s="901"/>
      <c r="YV12" s="901"/>
      <c r="YW12" s="901"/>
      <c r="YX12" s="901"/>
      <c r="YY12" s="901"/>
      <c r="YZ12" s="901"/>
      <c r="ZA12" s="901"/>
      <c r="ZB12" s="901"/>
      <c r="ZC12" s="901"/>
      <c r="ZD12" s="901"/>
      <c r="ZE12" s="901"/>
      <c r="ZF12" s="901"/>
      <c r="ZG12" s="901"/>
      <c r="ZH12" s="901"/>
      <c r="ZI12" s="901"/>
      <c r="ZJ12" s="901"/>
      <c r="ZK12" s="901"/>
      <c r="ZL12" s="901"/>
      <c r="ZM12" s="901"/>
      <c r="ZN12" s="901"/>
      <c r="ZO12" s="901"/>
      <c r="ZP12" s="901"/>
      <c r="ZQ12" s="901"/>
      <c r="ZR12" s="901"/>
      <c r="ZS12" s="901"/>
      <c r="ZT12" s="901"/>
      <c r="ZU12" s="901"/>
      <c r="ZV12" s="901"/>
      <c r="ZW12" s="901"/>
      <c r="ZX12" s="901"/>
      <c r="ZY12" s="901"/>
      <c r="ZZ12" s="901"/>
      <c r="AAA12" s="901"/>
      <c r="AAB12" s="901"/>
      <c r="AAC12" s="901"/>
      <c r="AAD12" s="901"/>
      <c r="AAE12" s="901"/>
      <c r="AAF12" s="901"/>
      <c r="AAG12" s="901"/>
      <c r="AAH12" s="901"/>
      <c r="AAI12" s="901"/>
      <c r="AAJ12" s="901"/>
      <c r="AAK12" s="901"/>
      <c r="AAL12" s="901"/>
      <c r="AAM12" s="901"/>
      <c r="AAN12" s="901"/>
      <c r="AAO12" s="901"/>
      <c r="AAP12" s="901"/>
      <c r="AAQ12" s="901"/>
      <c r="AAR12" s="901"/>
      <c r="AAS12" s="901"/>
      <c r="AAT12" s="901"/>
      <c r="AAU12" s="901"/>
      <c r="AAV12" s="901"/>
      <c r="AAW12" s="901"/>
      <c r="AAX12" s="901"/>
      <c r="AAY12" s="901"/>
      <c r="AAZ12" s="901"/>
      <c r="ABA12" s="901"/>
      <c r="ABB12" s="901"/>
      <c r="ABC12" s="901"/>
      <c r="ABD12" s="901"/>
      <c r="ABE12" s="901"/>
      <c r="ABF12" s="901"/>
      <c r="ABG12" s="901"/>
      <c r="ABH12" s="901"/>
      <c r="ABI12" s="901"/>
      <c r="ABJ12" s="901"/>
      <c r="ABK12" s="901"/>
      <c r="ABL12" s="901"/>
      <c r="ABM12" s="901"/>
      <c r="ABN12" s="901"/>
      <c r="ABO12" s="901"/>
      <c r="ABP12" s="901"/>
      <c r="ABQ12" s="901"/>
      <c r="ABR12" s="901"/>
      <c r="ABS12" s="901"/>
      <c r="ABT12" s="901"/>
      <c r="ABU12" s="901"/>
      <c r="ABV12" s="901"/>
      <c r="ABW12" s="901"/>
      <c r="ABX12" s="901"/>
      <c r="ABY12" s="901"/>
      <c r="ABZ12" s="901"/>
      <c r="ACA12" s="901"/>
      <c r="ACB12" s="901"/>
      <c r="ACC12" s="901"/>
      <c r="ACD12" s="901"/>
      <c r="ACE12" s="901"/>
      <c r="ACF12" s="901"/>
      <c r="ACG12" s="901"/>
      <c r="ACH12" s="901"/>
      <c r="ACI12" s="901"/>
      <c r="ACJ12" s="901"/>
      <c r="ACK12" s="901"/>
      <c r="ACL12" s="901"/>
      <c r="ACM12" s="901"/>
      <c r="ACN12" s="901"/>
      <c r="ACO12" s="901"/>
      <c r="ACP12" s="901"/>
      <c r="ACQ12" s="901"/>
      <c r="ACR12" s="901"/>
      <c r="ACS12" s="901"/>
      <c r="ACT12" s="901"/>
      <c r="ACU12" s="901"/>
      <c r="ACV12" s="901"/>
      <c r="ACW12" s="901"/>
      <c r="ACX12" s="901"/>
      <c r="ACY12" s="901"/>
      <c r="ACZ12" s="901"/>
      <c r="ADA12" s="901"/>
      <c r="ADB12" s="901"/>
      <c r="ADC12" s="901"/>
      <c r="ADD12" s="901"/>
      <c r="ADE12" s="901"/>
      <c r="ADF12" s="901"/>
      <c r="ADG12" s="901"/>
      <c r="ADH12" s="901"/>
      <c r="ADI12" s="901"/>
      <c r="ADJ12" s="901"/>
      <c r="ADK12" s="901"/>
      <c r="ADL12" s="901"/>
      <c r="ADM12" s="901"/>
      <c r="ADN12" s="901"/>
      <c r="ADO12" s="901"/>
      <c r="ADP12" s="901"/>
      <c r="ADQ12" s="901"/>
      <c r="ADR12" s="901"/>
      <c r="ADS12" s="901"/>
      <c r="ADT12" s="901"/>
      <c r="ADU12" s="901"/>
      <c r="ADV12" s="901"/>
      <c r="ADW12" s="901"/>
      <c r="ADX12" s="901"/>
      <c r="ADY12" s="901"/>
      <c r="ADZ12" s="901"/>
      <c r="AEA12" s="901"/>
      <c r="AEB12" s="901"/>
      <c r="AEC12" s="901"/>
      <c r="AED12" s="901"/>
      <c r="AEE12" s="901"/>
      <c r="AEF12" s="901"/>
      <c r="AEG12" s="901"/>
      <c r="AEH12" s="901"/>
      <c r="AEI12" s="901"/>
      <c r="AEJ12" s="901"/>
      <c r="AEK12" s="901"/>
      <c r="AEL12" s="901"/>
      <c r="AEM12" s="901"/>
      <c r="AEN12" s="901"/>
      <c r="AEO12" s="901"/>
      <c r="AEP12" s="901"/>
      <c r="AEQ12" s="901"/>
      <c r="AER12" s="901"/>
      <c r="AES12" s="901"/>
      <c r="AET12" s="901"/>
      <c r="AEU12" s="901"/>
      <c r="AEV12" s="901"/>
      <c r="AEW12" s="901"/>
      <c r="AEX12" s="901"/>
      <c r="AEY12" s="901"/>
      <c r="AEZ12" s="901"/>
      <c r="AFA12" s="901"/>
      <c r="AFB12" s="901"/>
      <c r="AFC12" s="901"/>
      <c r="AFD12" s="901"/>
      <c r="AFE12" s="901"/>
      <c r="AFF12" s="901"/>
      <c r="AFG12" s="901"/>
      <c r="AFH12" s="901"/>
      <c r="AFI12" s="901"/>
      <c r="AFJ12" s="901"/>
      <c r="AFK12" s="901"/>
      <c r="AFL12" s="901"/>
      <c r="AFM12" s="901"/>
      <c r="AFN12" s="901"/>
      <c r="AFO12" s="901"/>
      <c r="AFP12" s="901"/>
      <c r="AFQ12" s="901"/>
      <c r="AFR12" s="901"/>
      <c r="AFS12" s="901"/>
      <c r="AFT12" s="901"/>
      <c r="AFU12" s="901"/>
      <c r="AFV12" s="901"/>
      <c r="AFW12" s="901"/>
      <c r="AFX12" s="901"/>
      <c r="AFY12" s="901"/>
      <c r="AFZ12" s="901"/>
      <c r="AGA12" s="901"/>
      <c r="AGB12" s="901"/>
      <c r="AGC12" s="901"/>
      <c r="AGD12" s="901"/>
      <c r="AGE12" s="901"/>
      <c r="AGF12" s="901"/>
      <c r="AGG12" s="901"/>
      <c r="AGH12" s="901"/>
      <c r="AGI12" s="901"/>
      <c r="AGJ12" s="901"/>
      <c r="AGK12" s="901"/>
      <c r="AGL12" s="901"/>
      <c r="AGM12" s="901"/>
      <c r="AGN12" s="901"/>
      <c r="AGO12" s="901"/>
      <c r="AGP12" s="901"/>
      <c r="AGQ12" s="901"/>
      <c r="AGR12" s="901"/>
      <c r="AGS12" s="901"/>
      <c r="AGT12" s="901"/>
      <c r="AGU12" s="901"/>
      <c r="AGV12" s="901"/>
      <c r="AGW12" s="901"/>
      <c r="AGX12" s="901"/>
      <c r="AGY12" s="901"/>
      <c r="AGZ12" s="901"/>
      <c r="AHA12" s="901"/>
      <c r="AHB12" s="901"/>
      <c r="AHC12" s="901"/>
      <c r="AHD12" s="901"/>
      <c r="AHE12" s="901"/>
      <c r="AHF12" s="901"/>
      <c r="AHG12" s="901"/>
      <c r="AHH12" s="901"/>
      <c r="AHI12" s="901"/>
      <c r="AHJ12" s="901"/>
      <c r="AHK12" s="901"/>
      <c r="AHL12" s="901"/>
      <c r="AHM12" s="901"/>
      <c r="AHN12" s="901"/>
      <c r="AHO12" s="901"/>
      <c r="AHP12" s="901"/>
      <c r="AHQ12" s="901"/>
      <c r="AHR12" s="901"/>
      <c r="AHS12" s="901"/>
      <c r="AHT12" s="901"/>
      <c r="AHU12" s="901"/>
      <c r="AHV12" s="901"/>
      <c r="AHW12" s="901"/>
      <c r="AHX12" s="901"/>
      <c r="AHY12" s="901"/>
      <c r="AHZ12" s="901"/>
      <c r="AIA12" s="901"/>
      <c r="AIB12" s="901"/>
      <c r="AIC12" s="901"/>
      <c r="AID12" s="901"/>
      <c r="AIE12" s="901"/>
      <c r="AIF12" s="901"/>
      <c r="AIG12" s="901"/>
      <c r="AIH12" s="901"/>
      <c r="AII12" s="901"/>
      <c r="AIJ12" s="901"/>
      <c r="AIK12" s="901"/>
      <c r="AIL12" s="901"/>
      <c r="AIM12" s="901"/>
      <c r="AIN12" s="901"/>
      <c r="AIO12" s="901"/>
      <c r="AIP12" s="901"/>
      <c r="AIQ12" s="901"/>
      <c r="AIR12" s="901"/>
      <c r="AIS12" s="901"/>
      <c r="AIT12" s="901"/>
      <c r="AIU12" s="901"/>
      <c r="AIV12" s="901"/>
      <c r="AIW12" s="901"/>
      <c r="AIX12" s="901"/>
      <c r="AIY12" s="901"/>
      <c r="AIZ12" s="901"/>
      <c r="AJA12" s="901"/>
      <c r="AJB12" s="901"/>
      <c r="AJC12" s="901"/>
      <c r="AJD12" s="901"/>
      <c r="AJE12" s="901"/>
      <c r="AJF12" s="901"/>
      <c r="AJG12" s="901"/>
      <c r="AJH12" s="901"/>
      <c r="AJI12" s="901"/>
      <c r="AJJ12" s="901"/>
      <c r="AJK12" s="901"/>
      <c r="AJL12" s="901"/>
      <c r="AJM12" s="901"/>
      <c r="AJN12" s="901"/>
      <c r="AJO12" s="901"/>
      <c r="AJP12" s="901"/>
      <c r="AJQ12" s="901"/>
      <c r="AJR12" s="901"/>
      <c r="AJS12" s="901"/>
      <c r="AJT12" s="901"/>
      <c r="AJU12" s="901"/>
      <c r="AJV12" s="901"/>
      <c r="AJW12" s="901"/>
      <c r="AJX12" s="901"/>
      <c r="AJY12" s="901"/>
      <c r="AJZ12" s="901"/>
      <c r="AKA12" s="901"/>
      <c r="AKB12" s="901"/>
      <c r="AKC12" s="901"/>
      <c r="AKD12" s="901"/>
      <c r="AKE12" s="901"/>
      <c r="AKF12" s="901"/>
      <c r="AKG12" s="901"/>
      <c r="AKH12" s="901"/>
      <c r="AKI12" s="901"/>
      <c r="AKJ12" s="901"/>
      <c r="AKK12" s="901"/>
      <c r="AKL12" s="901"/>
      <c r="AKM12" s="901"/>
      <c r="AKN12" s="901"/>
      <c r="AKO12" s="901"/>
      <c r="AKP12" s="901"/>
      <c r="AKQ12" s="901"/>
      <c r="AKR12" s="901"/>
      <c r="AKS12" s="901"/>
      <c r="AKT12" s="901"/>
      <c r="AKU12" s="901"/>
      <c r="AKV12" s="901"/>
      <c r="AKW12" s="901"/>
      <c r="AKX12" s="901"/>
      <c r="AKY12" s="901"/>
      <c r="AKZ12" s="901"/>
      <c r="ALA12" s="901"/>
      <c r="ALB12" s="901"/>
      <c r="ALC12" s="901"/>
      <c r="ALD12" s="901"/>
      <c r="ALE12" s="901"/>
      <c r="ALF12" s="901"/>
      <c r="ALG12" s="901"/>
      <c r="ALH12" s="901"/>
      <c r="ALI12" s="901"/>
      <c r="ALJ12" s="901"/>
      <c r="ALK12" s="901"/>
      <c r="ALL12" s="901"/>
      <c r="ALM12" s="901"/>
      <c r="ALN12" s="901"/>
      <c r="ALO12" s="901"/>
      <c r="ALP12" s="901"/>
      <c r="ALQ12" s="901"/>
      <c r="ALR12" s="901"/>
      <c r="ALS12" s="901"/>
      <c r="ALT12" s="901"/>
      <c r="ALU12" s="901"/>
      <c r="ALV12" s="901"/>
      <c r="ALW12" s="901"/>
      <c r="ALX12" s="901"/>
      <c r="ALY12" s="901"/>
      <c r="ALZ12" s="901"/>
      <c r="AMA12" s="901"/>
      <c r="AMB12" s="901"/>
      <c r="AMC12" s="901"/>
      <c r="AMD12" s="901"/>
      <c r="AME12" s="901"/>
      <c r="AMF12" s="901"/>
      <c r="AMG12" s="901"/>
      <c r="AMH12" s="901"/>
      <c r="AMI12" s="901"/>
      <c r="AMJ12" s="901"/>
      <c r="AMK12" s="901"/>
      <c r="AML12" s="901"/>
    </row>
    <row r="13" spans="1:1026" ht="25.5">
      <c r="A13" s="128">
        <v>3</v>
      </c>
      <c r="B13" s="129" t="s">
        <v>16</v>
      </c>
      <c r="C13" s="129">
        <v>1</v>
      </c>
      <c r="D13" s="129" t="s">
        <v>16</v>
      </c>
      <c r="E13" s="130" t="s">
        <v>88</v>
      </c>
      <c r="F13" s="129" t="s">
        <v>16</v>
      </c>
      <c r="G13" s="131" t="s">
        <v>70</v>
      </c>
      <c r="H13" s="93" t="s">
        <v>89</v>
      </c>
      <c r="I13" s="94">
        <v>30000</v>
      </c>
      <c r="J13" s="95">
        <v>30000</v>
      </c>
      <c r="K13" s="94">
        <v>30000</v>
      </c>
      <c r="L13" s="84">
        <v>13784.2</v>
      </c>
      <c r="M13" s="94">
        <v>30000</v>
      </c>
      <c r="N13" s="95">
        <v>18464.150000000001</v>
      </c>
      <c r="O13" s="96">
        <v>17000</v>
      </c>
      <c r="P13" s="97">
        <v>11270.3</v>
      </c>
      <c r="Q13" s="98">
        <v>17000</v>
      </c>
      <c r="R13" s="97">
        <v>15877.31</v>
      </c>
      <c r="S13" s="99">
        <v>17000</v>
      </c>
      <c r="T13" s="99">
        <v>17000</v>
      </c>
      <c r="U13" s="99"/>
      <c r="V13" s="99">
        <v>17000</v>
      </c>
      <c r="W13" s="100">
        <v>16111.55</v>
      </c>
      <c r="X13" s="101">
        <v>20500</v>
      </c>
      <c r="Y13" s="102">
        <v>5176.7299999999996</v>
      </c>
      <c r="Z13" s="101">
        <v>20500</v>
      </c>
      <c r="AA13" s="139">
        <v>30000</v>
      </c>
      <c r="AB13" s="101">
        <f>20500</f>
        <v>20500</v>
      </c>
      <c r="AC13" s="139">
        <v>30000</v>
      </c>
      <c r="AD13" s="101">
        <f>33000</f>
        <v>33000</v>
      </c>
      <c r="AE13" s="139">
        <v>33000</v>
      </c>
      <c r="AF13" s="101">
        <v>33000</v>
      </c>
      <c r="AG13" s="746">
        <v>16500</v>
      </c>
      <c r="AH13" s="101">
        <v>33000</v>
      </c>
      <c r="AI13" s="101">
        <v>33000</v>
      </c>
      <c r="AJ13" s="101">
        <v>33000</v>
      </c>
      <c r="AK13" s="700" t="s">
        <v>448</v>
      </c>
      <c r="AM13" s="106"/>
      <c r="AN13" s="106"/>
    </row>
    <row r="14" spans="1:1026" s="902" customFormat="1" ht="25.5">
      <c r="A14" s="882">
        <v>3</v>
      </c>
      <c r="B14" s="883" t="s">
        <v>16</v>
      </c>
      <c r="C14" s="883">
        <v>1</v>
      </c>
      <c r="D14" s="883" t="s">
        <v>16</v>
      </c>
      <c r="E14" s="884" t="s">
        <v>90</v>
      </c>
      <c r="F14" s="883" t="s">
        <v>16</v>
      </c>
      <c r="G14" s="885" t="s">
        <v>70</v>
      </c>
      <c r="H14" s="955" t="s">
        <v>91</v>
      </c>
      <c r="I14" s="926">
        <v>0</v>
      </c>
      <c r="J14" s="927">
        <v>17.36</v>
      </c>
      <c r="K14" s="926">
        <v>0</v>
      </c>
      <c r="L14" s="927">
        <v>0</v>
      </c>
      <c r="M14" s="926">
        <v>0</v>
      </c>
      <c r="N14" s="927">
        <v>0</v>
      </c>
      <c r="O14" s="929">
        <v>0</v>
      </c>
      <c r="P14" s="930">
        <v>0</v>
      </c>
      <c r="Q14" s="929">
        <v>0</v>
      </c>
      <c r="R14" s="930">
        <v>0</v>
      </c>
      <c r="S14" s="931">
        <v>0</v>
      </c>
      <c r="T14" s="931">
        <v>0</v>
      </c>
      <c r="U14" s="931"/>
      <c r="V14" s="931">
        <v>0</v>
      </c>
      <c r="W14" s="932">
        <v>0</v>
      </c>
      <c r="X14" s="933">
        <v>0</v>
      </c>
      <c r="Y14" s="934">
        <v>0</v>
      </c>
      <c r="Z14" s="935">
        <v>0</v>
      </c>
      <c r="AA14" s="936">
        <v>0</v>
      </c>
      <c r="AB14" s="935">
        <v>0</v>
      </c>
      <c r="AC14" s="936">
        <v>0</v>
      </c>
      <c r="AD14" s="935">
        <v>0</v>
      </c>
      <c r="AE14" s="936">
        <v>127.36</v>
      </c>
      <c r="AF14" s="935">
        <v>5000</v>
      </c>
      <c r="AG14" s="937">
        <v>20319.189999999999</v>
      </c>
      <c r="AH14" s="956">
        <v>20319.189999999999</v>
      </c>
      <c r="AI14" s="956">
        <v>0</v>
      </c>
      <c r="AJ14" s="956">
        <v>0</v>
      </c>
      <c r="AK14" s="912" t="s">
        <v>518</v>
      </c>
      <c r="AL14" s="899"/>
      <c r="AM14" s="900"/>
      <c r="AN14" s="900"/>
      <c r="AO14" s="901"/>
      <c r="AP14" s="901"/>
      <c r="AQ14" s="901"/>
      <c r="AR14" s="901"/>
      <c r="AS14" s="901"/>
      <c r="AT14" s="901"/>
      <c r="AU14" s="901"/>
      <c r="AV14" s="901"/>
      <c r="AW14" s="901"/>
      <c r="AX14" s="901"/>
      <c r="AY14" s="901"/>
      <c r="AZ14" s="901"/>
      <c r="BA14" s="901"/>
      <c r="BB14" s="901"/>
      <c r="BC14" s="901"/>
      <c r="BD14" s="901"/>
      <c r="BE14" s="901"/>
      <c r="BF14" s="901"/>
      <c r="BG14" s="901"/>
      <c r="BH14" s="901"/>
      <c r="BI14" s="901"/>
      <c r="BJ14" s="901"/>
      <c r="BK14" s="901"/>
      <c r="BL14" s="901"/>
      <c r="BM14" s="901"/>
      <c r="BN14" s="901"/>
      <c r="BO14" s="901"/>
      <c r="BP14" s="901"/>
      <c r="BQ14" s="901"/>
      <c r="BR14" s="901"/>
      <c r="BS14" s="901"/>
      <c r="BT14" s="901"/>
      <c r="BU14" s="901"/>
      <c r="BV14" s="901"/>
      <c r="BW14" s="901"/>
      <c r="BX14" s="901"/>
      <c r="BY14" s="901"/>
      <c r="BZ14" s="901"/>
      <c r="CA14" s="901"/>
      <c r="CB14" s="901"/>
      <c r="CC14" s="901"/>
      <c r="CD14" s="901"/>
      <c r="CE14" s="901"/>
      <c r="CF14" s="901"/>
      <c r="CG14" s="901"/>
      <c r="CH14" s="901"/>
      <c r="CI14" s="901"/>
      <c r="CJ14" s="901"/>
      <c r="CK14" s="901"/>
      <c r="CL14" s="901"/>
      <c r="CM14" s="901"/>
      <c r="CN14" s="901"/>
      <c r="CO14" s="901"/>
      <c r="CP14" s="901"/>
      <c r="CQ14" s="901"/>
      <c r="CR14" s="901"/>
      <c r="CS14" s="901"/>
      <c r="CT14" s="901"/>
      <c r="CU14" s="901"/>
      <c r="CV14" s="901"/>
      <c r="CW14" s="901"/>
      <c r="CX14" s="901"/>
      <c r="CY14" s="901"/>
      <c r="CZ14" s="901"/>
      <c r="DA14" s="901"/>
      <c r="DB14" s="901"/>
      <c r="DC14" s="901"/>
      <c r="DD14" s="901"/>
      <c r="DE14" s="901"/>
      <c r="DF14" s="901"/>
      <c r="DG14" s="901"/>
      <c r="DH14" s="901"/>
      <c r="DI14" s="901"/>
      <c r="DJ14" s="901"/>
      <c r="DK14" s="901"/>
      <c r="DL14" s="901"/>
      <c r="DM14" s="901"/>
      <c r="DN14" s="901"/>
      <c r="DO14" s="901"/>
      <c r="DP14" s="901"/>
      <c r="DQ14" s="901"/>
      <c r="DR14" s="901"/>
      <c r="DS14" s="901"/>
      <c r="DT14" s="901"/>
      <c r="DU14" s="901"/>
      <c r="DV14" s="901"/>
      <c r="DW14" s="901"/>
      <c r="DX14" s="901"/>
      <c r="DY14" s="901"/>
      <c r="DZ14" s="901"/>
      <c r="EA14" s="901"/>
      <c r="EB14" s="901"/>
      <c r="EC14" s="901"/>
      <c r="ED14" s="901"/>
      <c r="EE14" s="901"/>
      <c r="EF14" s="901"/>
      <c r="EG14" s="901"/>
      <c r="EH14" s="901"/>
      <c r="EI14" s="901"/>
      <c r="EJ14" s="901"/>
      <c r="EK14" s="901"/>
      <c r="EL14" s="901"/>
      <c r="EM14" s="901"/>
      <c r="EN14" s="901"/>
      <c r="EO14" s="901"/>
      <c r="EP14" s="901"/>
      <c r="EQ14" s="901"/>
      <c r="ER14" s="901"/>
      <c r="ES14" s="901"/>
      <c r="ET14" s="901"/>
      <c r="EU14" s="901"/>
      <c r="EV14" s="901"/>
      <c r="EW14" s="901"/>
      <c r="EX14" s="901"/>
      <c r="EY14" s="901"/>
      <c r="EZ14" s="901"/>
      <c r="FA14" s="901"/>
      <c r="FB14" s="901"/>
      <c r="FC14" s="901"/>
      <c r="FD14" s="901"/>
      <c r="FE14" s="901"/>
      <c r="FF14" s="901"/>
      <c r="FG14" s="901"/>
      <c r="FH14" s="901"/>
      <c r="FI14" s="901"/>
      <c r="FJ14" s="901"/>
      <c r="FK14" s="901"/>
      <c r="FL14" s="901"/>
      <c r="FM14" s="901"/>
      <c r="FN14" s="901"/>
      <c r="FO14" s="901"/>
      <c r="FP14" s="901"/>
      <c r="FQ14" s="901"/>
      <c r="FR14" s="901"/>
      <c r="FS14" s="901"/>
      <c r="FT14" s="901"/>
      <c r="FU14" s="901"/>
      <c r="FV14" s="901"/>
      <c r="FW14" s="901"/>
      <c r="FX14" s="901"/>
      <c r="FY14" s="901"/>
      <c r="FZ14" s="901"/>
      <c r="GA14" s="901"/>
      <c r="GB14" s="901"/>
      <c r="GC14" s="901"/>
      <c r="GD14" s="901"/>
      <c r="GE14" s="901"/>
      <c r="GF14" s="901"/>
      <c r="GG14" s="901"/>
      <c r="GH14" s="901"/>
      <c r="GI14" s="901"/>
      <c r="GJ14" s="901"/>
      <c r="GK14" s="901"/>
      <c r="GL14" s="901"/>
      <c r="GM14" s="901"/>
      <c r="GN14" s="901"/>
      <c r="GO14" s="901"/>
      <c r="GP14" s="901"/>
      <c r="GQ14" s="901"/>
      <c r="GR14" s="901"/>
      <c r="GS14" s="901"/>
      <c r="GT14" s="901"/>
      <c r="GU14" s="901"/>
      <c r="GV14" s="901"/>
      <c r="GW14" s="901"/>
      <c r="GX14" s="901"/>
      <c r="GY14" s="901"/>
      <c r="GZ14" s="901"/>
      <c r="HA14" s="901"/>
      <c r="HB14" s="901"/>
      <c r="HC14" s="901"/>
      <c r="HD14" s="901"/>
      <c r="HE14" s="901"/>
      <c r="HF14" s="901"/>
      <c r="HG14" s="901"/>
      <c r="HH14" s="901"/>
      <c r="HI14" s="901"/>
      <c r="HJ14" s="901"/>
      <c r="HK14" s="901"/>
      <c r="HL14" s="901"/>
      <c r="HM14" s="901"/>
      <c r="HN14" s="901"/>
      <c r="HO14" s="901"/>
      <c r="HP14" s="901"/>
      <c r="HQ14" s="901"/>
      <c r="HR14" s="901"/>
      <c r="HS14" s="901"/>
      <c r="HT14" s="901"/>
      <c r="HU14" s="901"/>
      <c r="HV14" s="901"/>
      <c r="HW14" s="901"/>
      <c r="HX14" s="901"/>
      <c r="HY14" s="901"/>
      <c r="HZ14" s="901"/>
      <c r="IA14" s="901"/>
      <c r="IB14" s="901"/>
      <c r="IC14" s="901"/>
      <c r="ID14" s="901"/>
      <c r="IE14" s="901"/>
      <c r="IF14" s="901"/>
      <c r="IG14" s="901"/>
      <c r="IH14" s="901"/>
      <c r="II14" s="901"/>
      <c r="IJ14" s="901"/>
      <c r="IK14" s="901"/>
      <c r="IL14" s="901"/>
      <c r="IM14" s="901"/>
      <c r="IN14" s="901"/>
      <c r="IO14" s="901"/>
      <c r="IP14" s="901"/>
      <c r="IQ14" s="901"/>
      <c r="IR14" s="901"/>
      <c r="IS14" s="901"/>
      <c r="IT14" s="901"/>
      <c r="IU14" s="901"/>
      <c r="IV14" s="901"/>
      <c r="IW14" s="901"/>
      <c r="IX14" s="901"/>
      <c r="IY14" s="901"/>
      <c r="IZ14" s="901"/>
      <c r="JA14" s="901"/>
      <c r="JB14" s="901"/>
      <c r="JC14" s="901"/>
      <c r="JD14" s="901"/>
      <c r="JE14" s="901"/>
      <c r="JF14" s="901"/>
      <c r="JG14" s="901"/>
      <c r="JH14" s="901"/>
      <c r="JI14" s="901"/>
      <c r="JJ14" s="901"/>
      <c r="JK14" s="901"/>
      <c r="JL14" s="901"/>
      <c r="JM14" s="901"/>
      <c r="JN14" s="901"/>
      <c r="JO14" s="901"/>
      <c r="JP14" s="901"/>
      <c r="JQ14" s="901"/>
      <c r="JR14" s="901"/>
      <c r="JS14" s="901"/>
      <c r="JT14" s="901"/>
      <c r="JU14" s="901"/>
      <c r="JV14" s="901"/>
      <c r="JW14" s="901"/>
      <c r="JX14" s="901"/>
      <c r="JY14" s="901"/>
      <c r="JZ14" s="901"/>
      <c r="KA14" s="901"/>
      <c r="KB14" s="901"/>
      <c r="KC14" s="901"/>
      <c r="KD14" s="901"/>
      <c r="KE14" s="901"/>
      <c r="KF14" s="901"/>
      <c r="KG14" s="901"/>
      <c r="KH14" s="901"/>
      <c r="KI14" s="901"/>
      <c r="KJ14" s="901"/>
      <c r="KK14" s="901"/>
      <c r="KL14" s="901"/>
      <c r="KM14" s="901"/>
      <c r="KN14" s="901"/>
      <c r="KO14" s="901"/>
      <c r="KP14" s="901"/>
      <c r="KQ14" s="901"/>
      <c r="KR14" s="901"/>
      <c r="KS14" s="901"/>
      <c r="KT14" s="901"/>
      <c r="KU14" s="901"/>
      <c r="KV14" s="901"/>
      <c r="KW14" s="901"/>
      <c r="KX14" s="901"/>
      <c r="KY14" s="901"/>
      <c r="KZ14" s="901"/>
      <c r="LA14" s="901"/>
      <c r="LB14" s="901"/>
      <c r="LC14" s="901"/>
      <c r="LD14" s="901"/>
      <c r="LE14" s="901"/>
      <c r="LF14" s="901"/>
      <c r="LG14" s="901"/>
      <c r="LH14" s="901"/>
      <c r="LI14" s="901"/>
      <c r="LJ14" s="901"/>
      <c r="LK14" s="901"/>
      <c r="LL14" s="901"/>
      <c r="LM14" s="901"/>
      <c r="LN14" s="901"/>
      <c r="LO14" s="901"/>
      <c r="LP14" s="901"/>
      <c r="LQ14" s="901"/>
      <c r="LR14" s="901"/>
      <c r="LS14" s="901"/>
      <c r="LT14" s="901"/>
      <c r="LU14" s="901"/>
      <c r="LV14" s="901"/>
      <c r="LW14" s="901"/>
      <c r="LX14" s="901"/>
      <c r="LY14" s="901"/>
      <c r="LZ14" s="901"/>
      <c r="MA14" s="901"/>
      <c r="MB14" s="901"/>
      <c r="MC14" s="901"/>
      <c r="MD14" s="901"/>
      <c r="ME14" s="901"/>
      <c r="MF14" s="901"/>
      <c r="MG14" s="901"/>
      <c r="MH14" s="901"/>
      <c r="MI14" s="901"/>
      <c r="MJ14" s="901"/>
      <c r="MK14" s="901"/>
      <c r="ML14" s="901"/>
      <c r="MM14" s="901"/>
      <c r="MN14" s="901"/>
      <c r="MO14" s="901"/>
      <c r="MP14" s="901"/>
      <c r="MQ14" s="901"/>
      <c r="MR14" s="901"/>
      <c r="MS14" s="901"/>
      <c r="MT14" s="901"/>
      <c r="MU14" s="901"/>
      <c r="MV14" s="901"/>
      <c r="MW14" s="901"/>
      <c r="MX14" s="901"/>
      <c r="MY14" s="901"/>
      <c r="MZ14" s="901"/>
      <c r="NA14" s="901"/>
      <c r="NB14" s="901"/>
      <c r="NC14" s="901"/>
      <c r="ND14" s="901"/>
      <c r="NE14" s="901"/>
      <c r="NF14" s="901"/>
      <c r="NG14" s="901"/>
      <c r="NH14" s="901"/>
      <c r="NI14" s="901"/>
      <c r="NJ14" s="901"/>
      <c r="NK14" s="901"/>
      <c r="NL14" s="901"/>
      <c r="NM14" s="901"/>
      <c r="NN14" s="901"/>
      <c r="NO14" s="901"/>
      <c r="NP14" s="901"/>
      <c r="NQ14" s="901"/>
      <c r="NR14" s="901"/>
      <c r="NS14" s="901"/>
      <c r="NT14" s="901"/>
      <c r="NU14" s="901"/>
      <c r="NV14" s="901"/>
      <c r="NW14" s="901"/>
      <c r="NX14" s="901"/>
      <c r="NY14" s="901"/>
      <c r="NZ14" s="901"/>
      <c r="OA14" s="901"/>
      <c r="OB14" s="901"/>
      <c r="OC14" s="901"/>
      <c r="OD14" s="901"/>
      <c r="OE14" s="901"/>
      <c r="OF14" s="901"/>
      <c r="OG14" s="901"/>
      <c r="OH14" s="901"/>
      <c r="OI14" s="901"/>
      <c r="OJ14" s="901"/>
      <c r="OK14" s="901"/>
      <c r="OL14" s="901"/>
      <c r="OM14" s="901"/>
      <c r="ON14" s="901"/>
      <c r="OO14" s="901"/>
      <c r="OP14" s="901"/>
      <c r="OQ14" s="901"/>
      <c r="OR14" s="901"/>
      <c r="OS14" s="901"/>
      <c r="OT14" s="901"/>
      <c r="OU14" s="901"/>
      <c r="OV14" s="901"/>
      <c r="OW14" s="901"/>
      <c r="OX14" s="901"/>
      <c r="OY14" s="901"/>
      <c r="OZ14" s="901"/>
      <c r="PA14" s="901"/>
      <c r="PB14" s="901"/>
      <c r="PC14" s="901"/>
      <c r="PD14" s="901"/>
      <c r="PE14" s="901"/>
      <c r="PF14" s="901"/>
      <c r="PG14" s="901"/>
      <c r="PH14" s="901"/>
      <c r="PI14" s="901"/>
      <c r="PJ14" s="901"/>
      <c r="PK14" s="901"/>
      <c r="PL14" s="901"/>
      <c r="PM14" s="901"/>
      <c r="PN14" s="901"/>
      <c r="PO14" s="901"/>
      <c r="PP14" s="901"/>
      <c r="PQ14" s="901"/>
      <c r="PR14" s="901"/>
      <c r="PS14" s="901"/>
      <c r="PT14" s="901"/>
      <c r="PU14" s="901"/>
      <c r="PV14" s="901"/>
      <c r="PW14" s="901"/>
      <c r="PX14" s="901"/>
      <c r="PY14" s="901"/>
      <c r="PZ14" s="901"/>
      <c r="QA14" s="901"/>
      <c r="QB14" s="901"/>
      <c r="QC14" s="901"/>
      <c r="QD14" s="901"/>
      <c r="QE14" s="901"/>
      <c r="QF14" s="901"/>
      <c r="QG14" s="901"/>
      <c r="QH14" s="901"/>
      <c r="QI14" s="901"/>
      <c r="QJ14" s="901"/>
      <c r="QK14" s="901"/>
      <c r="QL14" s="901"/>
      <c r="QM14" s="901"/>
      <c r="QN14" s="901"/>
      <c r="QO14" s="901"/>
      <c r="QP14" s="901"/>
      <c r="QQ14" s="901"/>
      <c r="QR14" s="901"/>
      <c r="QS14" s="901"/>
      <c r="QT14" s="901"/>
      <c r="QU14" s="901"/>
      <c r="QV14" s="901"/>
      <c r="QW14" s="901"/>
      <c r="QX14" s="901"/>
      <c r="QY14" s="901"/>
      <c r="QZ14" s="901"/>
      <c r="RA14" s="901"/>
      <c r="RB14" s="901"/>
      <c r="RC14" s="901"/>
      <c r="RD14" s="901"/>
      <c r="RE14" s="901"/>
      <c r="RF14" s="901"/>
      <c r="RG14" s="901"/>
      <c r="RH14" s="901"/>
      <c r="RI14" s="901"/>
      <c r="RJ14" s="901"/>
      <c r="RK14" s="901"/>
      <c r="RL14" s="901"/>
      <c r="RM14" s="901"/>
      <c r="RN14" s="901"/>
      <c r="RO14" s="901"/>
      <c r="RP14" s="901"/>
      <c r="RQ14" s="901"/>
      <c r="RR14" s="901"/>
      <c r="RS14" s="901"/>
      <c r="RT14" s="901"/>
      <c r="RU14" s="901"/>
      <c r="RV14" s="901"/>
      <c r="RW14" s="901"/>
      <c r="RX14" s="901"/>
      <c r="RY14" s="901"/>
      <c r="RZ14" s="901"/>
      <c r="SA14" s="901"/>
      <c r="SB14" s="901"/>
      <c r="SC14" s="901"/>
      <c r="SD14" s="901"/>
      <c r="SE14" s="901"/>
      <c r="SF14" s="901"/>
      <c r="SG14" s="901"/>
      <c r="SH14" s="901"/>
      <c r="SI14" s="901"/>
      <c r="SJ14" s="901"/>
      <c r="SK14" s="901"/>
      <c r="SL14" s="901"/>
      <c r="SM14" s="901"/>
      <c r="SN14" s="901"/>
      <c r="SO14" s="901"/>
      <c r="SP14" s="901"/>
      <c r="SQ14" s="901"/>
      <c r="SR14" s="901"/>
      <c r="SS14" s="901"/>
      <c r="ST14" s="901"/>
      <c r="SU14" s="901"/>
      <c r="SV14" s="901"/>
      <c r="SW14" s="901"/>
      <c r="SX14" s="901"/>
      <c r="SY14" s="901"/>
      <c r="SZ14" s="901"/>
      <c r="TA14" s="901"/>
      <c r="TB14" s="901"/>
      <c r="TC14" s="901"/>
      <c r="TD14" s="901"/>
      <c r="TE14" s="901"/>
      <c r="TF14" s="901"/>
      <c r="TG14" s="901"/>
      <c r="TH14" s="901"/>
      <c r="TI14" s="901"/>
      <c r="TJ14" s="901"/>
      <c r="TK14" s="901"/>
      <c r="TL14" s="901"/>
      <c r="TM14" s="901"/>
      <c r="TN14" s="901"/>
      <c r="TO14" s="901"/>
      <c r="TP14" s="901"/>
      <c r="TQ14" s="901"/>
      <c r="TR14" s="901"/>
      <c r="TS14" s="901"/>
      <c r="TT14" s="901"/>
      <c r="TU14" s="901"/>
      <c r="TV14" s="901"/>
      <c r="TW14" s="901"/>
      <c r="TX14" s="901"/>
      <c r="TY14" s="901"/>
      <c r="TZ14" s="901"/>
      <c r="UA14" s="901"/>
      <c r="UB14" s="901"/>
      <c r="UC14" s="901"/>
      <c r="UD14" s="901"/>
      <c r="UE14" s="901"/>
      <c r="UF14" s="901"/>
      <c r="UG14" s="901"/>
      <c r="UH14" s="901"/>
      <c r="UI14" s="901"/>
      <c r="UJ14" s="901"/>
      <c r="UK14" s="901"/>
      <c r="UL14" s="901"/>
      <c r="UM14" s="901"/>
      <c r="UN14" s="901"/>
      <c r="UO14" s="901"/>
      <c r="UP14" s="901"/>
      <c r="UQ14" s="901"/>
      <c r="UR14" s="901"/>
      <c r="US14" s="901"/>
      <c r="UT14" s="901"/>
      <c r="UU14" s="901"/>
      <c r="UV14" s="901"/>
      <c r="UW14" s="901"/>
      <c r="UX14" s="901"/>
      <c r="UY14" s="901"/>
      <c r="UZ14" s="901"/>
      <c r="VA14" s="901"/>
      <c r="VB14" s="901"/>
      <c r="VC14" s="901"/>
      <c r="VD14" s="901"/>
      <c r="VE14" s="901"/>
      <c r="VF14" s="901"/>
      <c r="VG14" s="901"/>
      <c r="VH14" s="901"/>
      <c r="VI14" s="901"/>
      <c r="VJ14" s="901"/>
      <c r="VK14" s="901"/>
      <c r="VL14" s="901"/>
      <c r="VM14" s="901"/>
      <c r="VN14" s="901"/>
      <c r="VO14" s="901"/>
      <c r="VP14" s="901"/>
      <c r="VQ14" s="901"/>
      <c r="VR14" s="901"/>
      <c r="VS14" s="901"/>
      <c r="VT14" s="901"/>
      <c r="VU14" s="901"/>
      <c r="VV14" s="901"/>
      <c r="VW14" s="901"/>
      <c r="VX14" s="901"/>
      <c r="VY14" s="901"/>
      <c r="VZ14" s="901"/>
      <c r="WA14" s="901"/>
      <c r="WB14" s="901"/>
      <c r="WC14" s="901"/>
      <c r="WD14" s="901"/>
      <c r="WE14" s="901"/>
      <c r="WF14" s="901"/>
      <c r="WG14" s="901"/>
      <c r="WH14" s="901"/>
      <c r="WI14" s="901"/>
      <c r="WJ14" s="901"/>
      <c r="WK14" s="901"/>
      <c r="WL14" s="901"/>
      <c r="WM14" s="901"/>
      <c r="WN14" s="901"/>
      <c r="WO14" s="901"/>
      <c r="WP14" s="901"/>
      <c r="WQ14" s="901"/>
      <c r="WR14" s="901"/>
      <c r="WS14" s="901"/>
      <c r="WT14" s="901"/>
      <c r="WU14" s="901"/>
      <c r="WV14" s="901"/>
      <c r="WW14" s="901"/>
      <c r="WX14" s="901"/>
      <c r="WY14" s="901"/>
      <c r="WZ14" s="901"/>
      <c r="XA14" s="901"/>
      <c r="XB14" s="901"/>
      <c r="XC14" s="901"/>
      <c r="XD14" s="901"/>
      <c r="XE14" s="901"/>
      <c r="XF14" s="901"/>
      <c r="XG14" s="901"/>
      <c r="XH14" s="901"/>
      <c r="XI14" s="901"/>
      <c r="XJ14" s="901"/>
      <c r="XK14" s="901"/>
      <c r="XL14" s="901"/>
      <c r="XM14" s="901"/>
      <c r="XN14" s="901"/>
      <c r="XO14" s="901"/>
      <c r="XP14" s="901"/>
      <c r="XQ14" s="901"/>
      <c r="XR14" s="901"/>
      <c r="XS14" s="901"/>
      <c r="XT14" s="901"/>
      <c r="XU14" s="901"/>
      <c r="XV14" s="901"/>
      <c r="XW14" s="901"/>
      <c r="XX14" s="901"/>
      <c r="XY14" s="901"/>
      <c r="XZ14" s="901"/>
      <c r="YA14" s="901"/>
      <c r="YB14" s="901"/>
      <c r="YC14" s="901"/>
      <c r="YD14" s="901"/>
      <c r="YE14" s="901"/>
      <c r="YF14" s="901"/>
      <c r="YG14" s="901"/>
      <c r="YH14" s="901"/>
      <c r="YI14" s="901"/>
      <c r="YJ14" s="901"/>
      <c r="YK14" s="901"/>
      <c r="YL14" s="901"/>
      <c r="YM14" s="901"/>
      <c r="YN14" s="901"/>
      <c r="YO14" s="901"/>
      <c r="YP14" s="901"/>
      <c r="YQ14" s="901"/>
      <c r="YR14" s="901"/>
      <c r="YS14" s="901"/>
      <c r="YT14" s="901"/>
      <c r="YU14" s="901"/>
      <c r="YV14" s="901"/>
      <c r="YW14" s="901"/>
      <c r="YX14" s="901"/>
      <c r="YY14" s="901"/>
      <c r="YZ14" s="901"/>
      <c r="ZA14" s="901"/>
      <c r="ZB14" s="901"/>
      <c r="ZC14" s="901"/>
      <c r="ZD14" s="901"/>
      <c r="ZE14" s="901"/>
      <c r="ZF14" s="901"/>
      <c r="ZG14" s="901"/>
      <c r="ZH14" s="901"/>
      <c r="ZI14" s="901"/>
      <c r="ZJ14" s="901"/>
      <c r="ZK14" s="901"/>
      <c r="ZL14" s="901"/>
      <c r="ZM14" s="901"/>
      <c r="ZN14" s="901"/>
      <c r="ZO14" s="901"/>
      <c r="ZP14" s="901"/>
      <c r="ZQ14" s="901"/>
      <c r="ZR14" s="901"/>
      <c r="ZS14" s="901"/>
      <c r="ZT14" s="901"/>
      <c r="ZU14" s="901"/>
      <c r="ZV14" s="901"/>
      <c r="ZW14" s="901"/>
      <c r="ZX14" s="901"/>
      <c r="ZY14" s="901"/>
      <c r="ZZ14" s="901"/>
      <c r="AAA14" s="901"/>
      <c r="AAB14" s="901"/>
      <c r="AAC14" s="901"/>
      <c r="AAD14" s="901"/>
      <c r="AAE14" s="901"/>
      <c r="AAF14" s="901"/>
      <c r="AAG14" s="901"/>
      <c r="AAH14" s="901"/>
      <c r="AAI14" s="901"/>
      <c r="AAJ14" s="901"/>
      <c r="AAK14" s="901"/>
      <c r="AAL14" s="901"/>
      <c r="AAM14" s="901"/>
      <c r="AAN14" s="901"/>
      <c r="AAO14" s="901"/>
      <c r="AAP14" s="901"/>
      <c r="AAQ14" s="901"/>
      <c r="AAR14" s="901"/>
      <c r="AAS14" s="901"/>
      <c r="AAT14" s="901"/>
      <c r="AAU14" s="901"/>
      <c r="AAV14" s="901"/>
      <c r="AAW14" s="901"/>
      <c r="AAX14" s="901"/>
      <c r="AAY14" s="901"/>
      <c r="AAZ14" s="901"/>
      <c r="ABA14" s="901"/>
      <c r="ABB14" s="901"/>
      <c r="ABC14" s="901"/>
      <c r="ABD14" s="901"/>
      <c r="ABE14" s="901"/>
      <c r="ABF14" s="901"/>
      <c r="ABG14" s="901"/>
      <c r="ABH14" s="901"/>
      <c r="ABI14" s="901"/>
      <c r="ABJ14" s="901"/>
      <c r="ABK14" s="901"/>
      <c r="ABL14" s="901"/>
      <c r="ABM14" s="901"/>
      <c r="ABN14" s="901"/>
      <c r="ABO14" s="901"/>
      <c r="ABP14" s="901"/>
      <c r="ABQ14" s="901"/>
      <c r="ABR14" s="901"/>
      <c r="ABS14" s="901"/>
      <c r="ABT14" s="901"/>
      <c r="ABU14" s="901"/>
      <c r="ABV14" s="901"/>
      <c r="ABW14" s="901"/>
      <c r="ABX14" s="901"/>
      <c r="ABY14" s="901"/>
      <c r="ABZ14" s="901"/>
      <c r="ACA14" s="901"/>
      <c r="ACB14" s="901"/>
      <c r="ACC14" s="901"/>
      <c r="ACD14" s="901"/>
      <c r="ACE14" s="901"/>
      <c r="ACF14" s="901"/>
      <c r="ACG14" s="901"/>
      <c r="ACH14" s="901"/>
      <c r="ACI14" s="901"/>
      <c r="ACJ14" s="901"/>
      <c r="ACK14" s="901"/>
      <c r="ACL14" s="901"/>
      <c r="ACM14" s="901"/>
      <c r="ACN14" s="901"/>
      <c r="ACO14" s="901"/>
      <c r="ACP14" s="901"/>
      <c r="ACQ14" s="901"/>
      <c r="ACR14" s="901"/>
      <c r="ACS14" s="901"/>
      <c r="ACT14" s="901"/>
      <c r="ACU14" s="901"/>
      <c r="ACV14" s="901"/>
      <c r="ACW14" s="901"/>
      <c r="ACX14" s="901"/>
      <c r="ACY14" s="901"/>
      <c r="ACZ14" s="901"/>
      <c r="ADA14" s="901"/>
      <c r="ADB14" s="901"/>
      <c r="ADC14" s="901"/>
      <c r="ADD14" s="901"/>
      <c r="ADE14" s="901"/>
      <c r="ADF14" s="901"/>
      <c r="ADG14" s="901"/>
      <c r="ADH14" s="901"/>
      <c r="ADI14" s="901"/>
      <c r="ADJ14" s="901"/>
      <c r="ADK14" s="901"/>
      <c r="ADL14" s="901"/>
      <c r="ADM14" s="901"/>
      <c r="ADN14" s="901"/>
      <c r="ADO14" s="901"/>
      <c r="ADP14" s="901"/>
      <c r="ADQ14" s="901"/>
      <c r="ADR14" s="901"/>
      <c r="ADS14" s="901"/>
      <c r="ADT14" s="901"/>
      <c r="ADU14" s="901"/>
      <c r="ADV14" s="901"/>
      <c r="ADW14" s="901"/>
      <c r="ADX14" s="901"/>
      <c r="ADY14" s="901"/>
      <c r="ADZ14" s="901"/>
      <c r="AEA14" s="901"/>
      <c r="AEB14" s="901"/>
      <c r="AEC14" s="901"/>
      <c r="AED14" s="901"/>
      <c r="AEE14" s="901"/>
      <c r="AEF14" s="901"/>
      <c r="AEG14" s="901"/>
      <c r="AEH14" s="901"/>
      <c r="AEI14" s="901"/>
      <c r="AEJ14" s="901"/>
      <c r="AEK14" s="901"/>
      <c r="AEL14" s="901"/>
      <c r="AEM14" s="901"/>
      <c r="AEN14" s="901"/>
      <c r="AEO14" s="901"/>
      <c r="AEP14" s="901"/>
      <c r="AEQ14" s="901"/>
      <c r="AER14" s="901"/>
      <c r="AES14" s="901"/>
      <c r="AET14" s="901"/>
      <c r="AEU14" s="901"/>
      <c r="AEV14" s="901"/>
      <c r="AEW14" s="901"/>
      <c r="AEX14" s="901"/>
      <c r="AEY14" s="901"/>
      <c r="AEZ14" s="901"/>
      <c r="AFA14" s="901"/>
      <c r="AFB14" s="901"/>
      <c r="AFC14" s="901"/>
      <c r="AFD14" s="901"/>
      <c r="AFE14" s="901"/>
      <c r="AFF14" s="901"/>
      <c r="AFG14" s="901"/>
      <c r="AFH14" s="901"/>
      <c r="AFI14" s="901"/>
      <c r="AFJ14" s="901"/>
      <c r="AFK14" s="901"/>
      <c r="AFL14" s="901"/>
      <c r="AFM14" s="901"/>
      <c r="AFN14" s="901"/>
      <c r="AFO14" s="901"/>
      <c r="AFP14" s="901"/>
      <c r="AFQ14" s="901"/>
      <c r="AFR14" s="901"/>
      <c r="AFS14" s="901"/>
      <c r="AFT14" s="901"/>
      <c r="AFU14" s="901"/>
      <c r="AFV14" s="901"/>
      <c r="AFW14" s="901"/>
      <c r="AFX14" s="901"/>
      <c r="AFY14" s="901"/>
      <c r="AFZ14" s="901"/>
      <c r="AGA14" s="901"/>
      <c r="AGB14" s="901"/>
      <c r="AGC14" s="901"/>
      <c r="AGD14" s="901"/>
      <c r="AGE14" s="901"/>
      <c r="AGF14" s="901"/>
      <c r="AGG14" s="901"/>
      <c r="AGH14" s="901"/>
      <c r="AGI14" s="901"/>
      <c r="AGJ14" s="901"/>
      <c r="AGK14" s="901"/>
      <c r="AGL14" s="901"/>
      <c r="AGM14" s="901"/>
      <c r="AGN14" s="901"/>
      <c r="AGO14" s="901"/>
      <c r="AGP14" s="901"/>
      <c r="AGQ14" s="901"/>
      <c r="AGR14" s="901"/>
      <c r="AGS14" s="901"/>
      <c r="AGT14" s="901"/>
      <c r="AGU14" s="901"/>
      <c r="AGV14" s="901"/>
      <c r="AGW14" s="901"/>
      <c r="AGX14" s="901"/>
      <c r="AGY14" s="901"/>
      <c r="AGZ14" s="901"/>
      <c r="AHA14" s="901"/>
      <c r="AHB14" s="901"/>
      <c r="AHC14" s="901"/>
      <c r="AHD14" s="901"/>
      <c r="AHE14" s="901"/>
      <c r="AHF14" s="901"/>
      <c r="AHG14" s="901"/>
      <c r="AHH14" s="901"/>
      <c r="AHI14" s="901"/>
      <c r="AHJ14" s="901"/>
      <c r="AHK14" s="901"/>
      <c r="AHL14" s="901"/>
      <c r="AHM14" s="901"/>
      <c r="AHN14" s="901"/>
      <c r="AHO14" s="901"/>
      <c r="AHP14" s="901"/>
      <c r="AHQ14" s="901"/>
      <c r="AHR14" s="901"/>
      <c r="AHS14" s="901"/>
      <c r="AHT14" s="901"/>
      <c r="AHU14" s="901"/>
      <c r="AHV14" s="901"/>
      <c r="AHW14" s="901"/>
      <c r="AHX14" s="901"/>
      <c r="AHY14" s="901"/>
      <c r="AHZ14" s="901"/>
      <c r="AIA14" s="901"/>
      <c r="AIB14" s="901"/>
      <c r="AIC14" s="901"/>
      <c r="AID14" s="901"/>
      <c r="AIE14" s="901"/>
      <c r="AIF14" s="901"/>
      <c r="AIG14" s="901"/>
      <c r="AIH14" s="901"/>
      <c r="AII14" s="901"/>
      <c r="AIJ14" s="901"/>
      <c r="AIK14" s="901"/>
      <c r="AIL14" s="901"/>
      <c r="AIM14" s="901"/>
      <c r="AIN14" s="901"/>
      <c r="AIO14" s="901"/>
      <c r="AIP14" s="901"/>
      <c r="AIQ14" s="901"/>
      <c r="AIR14" s="901"/>
      <c r="AIS14" s="901"/>
      <c r="AIT14" s="901"/>
      <c r="AIU14" s="901"/>
      <c r="AIV14" s="901"/>
      <c r="AIW14" s="901"/>
      <c r="AIX14" s="901"/>
      <c r="AIY14" s="901"/>
      <c r="AIZ14" s="901"/>
      <c r="AJA14" s="901"/>
      <c r="AJB14" s="901"/>
      <c r="AJC14" s="901"/>
      <c r="AJD14" s="901"/>
      <c r="AJE14" s="901"/>
      <c r="AJF14" s="901"/>
      <c r="AJG14" s="901"/>
      <c r="AJH14" s="901"/>
      <c r="AJI14" s="901"/>
      <c r="AJJ14" s="901"/>
      <c r="AJK14" s="901"/>
      <c r="AJL14" s="901"/>
      <c r="AJM14" s="901"/>
      <c r="AJN14" s="901"/>
      <c r="AJO14" s="901"/>
      <c r="AJP14" s="901"/>
      <c r="AJQ14" s="901"/>
      <c r="AJR14" s="901"/>
      <c r="AJS14" s="901"/>
      <c r="AJT14" s="901"/>
      <c r="AJU14" s="901"/>
      <c r="AJV14" s="901"/>
      <c r="AJW14" s="901"/>
      <c r="AJX14" s="901"/>
      <c r="AJY14" s="901"/>
      <c r="AJZ14" s="901"/>
      <c r="AKA14" s="901"/>
      <c r="AKB14" s="901"/>
      <c r="AKC14" s="901"/>
      <c r="AKD14" s="901"/>
      <c r="AKE14" s="901"/>
      <c r="AKF14" s="901"/>
      <c r="AKG14" s="901"/>
      <c r="AKH14" s="901"/>
      <c r="AKI14" s="901"/>
      <c r="AKJ14" s="901"/>
      <c r="AKK14" s="901"/>
      <c r="AKL14" s="901"/>
      <c r="AKM14" s="901"/>
      <c r="AKN14" s="901"/>
      <c r="AKO14" s="901"/>
      <c r="AKP14" s="901"/>
      <c r="AKQ14" s="901"/>
      <c r="AKR14" s="901"/>
      <c r="AKS14" s="901"/>
      <c r="AKT14" s="901"/>
      <c r="AKU14" s="901"/>
      <c r="AKV14" s="901"/>
      <c r="AKW14" s="901"/>
      <c r="AKX14" s="901"/>
      <c r="AKY14" s="901"/>
      <c r="AKZ14" s="901"/>
      <c r="ALA14" s="901"/>
      <c r="ALB14" s="901"/>
      <c r="ALC14" s="901"/>
      <c r="ALD14" s="901"/>
      <c r="ALE14" s="901"/>
      <c r="ALF14" s="901"/>
      <c r="ALG14" s="901"/>
      <c r="ALH14" s="901"/>
      <c r="ALI14" s="901"/>
      <c r="ALJ14" s="901"/>
      <c r="ALK14" s="901"/>
      <c r="ALL14" s="901"/>
      <c r="ALM14" s="901"/>
      <c r="ALN14" s="901"/>
      <c r="ALO14" s="901"/>
      <c r="ALP14" s="901"/>
      <c r="ALQ14" s="901"/>
      <c r="ALR14" s="901"/>
      <c r="ALS14" s="901"/>
      <c r="ALT14" s="901"/>
      <c r="ALU14" s="901"/>
      <c r="ALV14" s="901"/>
      <c r="ALW14" s="901"/>
      <c r="ALX14" s="901"/>
      <c r="ALY14" s="901"/>
      <c r="ALZ14" s="901"/>
      <c r="AMA14" s="901"/>
      <c r="AMB14" s="901"/>
      <c r="AMC14" s="901"/>
      <c r="AMD14" s="901"/>
      <c r="AME14" s="901"/>
      <c r="AMF14" s="901"/>
      <c r="AMG14" s="901"/>
      <c r="AMH14" s="901"/>
      <c r="AMI14" s="901"/>
      <c r="AMJ14" s="901"/>
      <c r="AMK14" s="901"/>
      <c r="AML14" s="901"/>
    </row>
    <row r="15" spans="1:1026">
      <c r="A15" s="80"/>
      <c r="B15" s="14"/>
      <c r="C15" s="14"/>
      <c r="D15" s="14"/>
      <c r="E15" s="15"/>
      <c r="F15" s="14"/>
      <c r="G15" s="81"/>
      <c r="H15" s="107"/>
      <c r="I15" s="108"/>
      <c r="J15" s="109"/>
      <c r="K15" s="108"/>
      <c r="L15" s="109"/>
      <c r="M15" s="108"/>
      <c r="N15" s="109"/>
      <c r="O15" s="119"/>
      <c r="P15" s="120"/>
      <c r="Q15" s="119"/>
      <c r="R15" s="120"/>
      <c r="S15" s="113"/>
      <c r="T15" s="113"/>
      <c r="U15" s="113"/>
      <c r="V15" s="113"/>
      <c r="W15" s="114"/>
      <c r="X15" s="115"/>
      <c r="Y15" s="116"/>
      <c r="Z15" s="117"/>
      <c r="AA15" s="118"/>
      <c r="AB15" s="117"/>
      <c r="AC15" s="118"/>
      <c r="AD15" s="117"/>
      <c r="AE15" s="118"/>
      <c r="AF15" s="117"/>
      <c r="AG15" s="745"/>
      <c r="AH15" s="117"/>
      <c r="AI15" s="117"/>
      <c r="AJ15" s="117"/>
      <c r="AK15" s="700"/>
      <c r="AM15" s="106"/>
      <c r="AN15" s="106"/>
    </row>
    <row r="16" spans="1:1026">
      <c r="A16" s="140"/>
      <c r="B16" s="12"/>
      <c r="C16" s="12"/>
      <c r="D16" s="12"/>
      <c r="E16" s="690"/>
      <c r="F16" s="12"/>
      <c r="G16" s="141"/>
      <c r="H16" s="107"/>
      <c r="I16" s="94"/>
      <c r="J16" s="95"/>
      <c r="K16" s="94"/>
      <c r="L16" s="95"/>
      <c r="M16" s="94"/>
      <c r="N16" s="95"/>
      <c r="O16" s="142"/>
      <c r="P16" s="143"/>
      <c r="Q16" s="142"/>
      <c r="R16" s="143"/>
      <c r="S16" s="99"/>
      <c r="T16" s="99"/>
      <c r="U16" s="99"/>
      <c r="V16" s="99"/>
      <c r="W16" s="100"/>
      <c r="X16" s="101"/>
      <c r="Y16" s="102"/>
      <c r="Z16" s="103"/>
      <c r="AA16" s="104"/>
      <c r="AB16" s="103"/>
      <c r="AC16" s="104"/>
      <c r="AD16" s="103"/>
      <c r="AE16" s="104"/>
      <c r="AF16" s="103"/>
      <c r="AG16" s="666"/>
      <c r="AH16" s="103"/>
      <c r="AI16" s="103"/>
      <c r="AJ16" s="103"/>
      <c r="AK16" s="700"/>
      <c r="AM16" s="106"/>
      <c r="AN16" s="106"/>
    </row>
    <row r="17" spans="1:1026">
      <c r="A17" s="144"/>
      <c r="B17" s="680"/>
      <c r="C17" s="680"/>
      <c r="D17" s="680"/>
      <c r="E17" s="676"/>
      <c r="F17" s="680"/>
      <c r="G17" s="145"/>
      <c r="H17" s="146" t="s">
        <v>92</v>
      </c>
      <c r="I17" s="147">
        <f t="shared" ref="I17:O17" si="0">SUM(I5:I14)</f>
        <v>44000</v>
      </c>
      <c r="J17" s="148">
        <f t="shared" si="0"/>
        <v>40430.42</v>
      </c>
      <c r="K17" s="147">
        <f t="shared" si="0"/>
        <v>55000</v>
      </c>
      <c r="L17" s="148">
        <f t="shared" si="0"/>
        <v>20231.18</v>
      </c>
      <c r="M17" s="147">
        <f t="shared" si="0"/>
        <v>47500</v>
      </c>
      <c r="N17" s="148">
        <f t="shared" si="0"/>
        <v>24786.13</v>
      </c>
      <c r="O17" s="149">
        <f t="shared" si="0"/>
        <v>44000</v>
      </c>
      <c r="P17" s="150">
        <f>SUM(P6:P16)</f>
        <v>13485.3</v>
      </c>
      <c r="Q17" s="149">
        <v>38000</v>
      </c>
      <c r="R17" s="150">
        <f>SUM(R6:R16)</f>
        <v>18157.309999999998</v>
      </c>
      <c r="S17" s="151">
        <f>SUM(S5:S14)</f>
        <v>42000</v>
      </c>
      <c r="T17" s="151">
        <f>SUM(T5:T14)</f>
        <v>42000</v>
      </c>
      <c r="U17" s="151"/>
      <c r="V17" s="151">
        <f t="shared" ref="V17:AE17" si="1">SUM(V5:V14)</f>
        <v>42000</v>
      </c>
      <c r="W17" s="152">
        <f t="shared" si="1"/>
        <v>18545.149999999998</v>
      </c>
      <c r="X17" s="153">
        <f t="shared" si="1"/>
        <v>33500</v>
      </c>
      <c r="Y17" s="154">
        <f t="shared" si="1"/>
        <v>58020.729999999996</v>
      </c>
      <c r="Z17" s="153">
        <f t="shared" si="1"/>
        <v>78500</v>
      </c>
      <c r="AA17" s="153">
        <f t="shared" si="1"/>
        <v>85242.91</v>
      </c>
      <c r="AB17" s="153">
        <f t="shared" si="1"/>
        <v>29500</v>
      </c>
      <c r="AC17" s="155">
        <f t="shared" ref="AC17" si="2">SUM(AC5:AC14)</f>
        <v>85242.91</v>
      </c>
      <c r="AD17" s="153">
        <f t="shared" si="1"/>
        <v>63500</v>
      </c>
      <c r="AE17" s="153">
        <f t="shared" si="1"/>
        <v>40390.17</v>
      </c>
      <c r="AF17" s="153">
        <f>SUM(AF5:AF14)</f>
        <v>63500</v>
      </c>
      <c r="AG17" s="153">
        <f t="shared" ref="AG17" si="3">SUM(AG5:AG14)</f>
        <v>38039.19</v>
      </c>
      <c r="AH17" s="153">
        <f>SUM(AH5:AH14)</f>
        <v>58819.19</v>
      </c>
      <c r="AI17" s="153">
        <f>SUM(AI5:AI14)</f>
        <v>37500</v>
      </c>
      <c r="AJ17" s="153">
        <f>SUM(AJ5:AJ14)</f>
        <v>37500</v>
      </c>
      <c r="AK17" s="702"/>
      <c r="AM17" s="106"/>
      <c r="AN17" s="106"/>
    </row>
    <row r="18" spans="1:1026">
      <c r="A18" s="80"/>
      <c r="B18" s="14"/>
      <c r="C18" s="14"/>
      <c r="D18" s="14"/>
      <c r="E18" s="15"/>
      <c r="F18" s="14"/>
      <c r="G18" s="81"/>
      <c r="H18" s="107"/>
      <c r="I18" s="157"/>
      <c r="J18" s="158"/>
      <c r="K18" s="157"/>
      <c r="L18" s="158"/>
      <c r="M18" s="157"/>
      <c r="N18" s="158"/>
      <c r="O18" s="159"/>
      <c r="P18" s="105"/>
      <c r="Q18" s="159"/>
      <c r="R18" s="105"/>
      <c r="S18" s="160"/>
      <c r="T18" s="160"/>
      <c r="U18" s="160"/>
      <c r="V18" s="160"/>
      <c r="W18" s="161"/>
      <c r="X18" s="162"/>
      <c r="Y18" s="163"/>
      <c r="Z18" s="164"/>
      <c r="AA18" s="165"/>
      <c r="AB18" s="164"/>
      <c r="AC18" s="165"/>
      <c r="AD18" s="164"/>
      <c r="AE18" s="165"/>
      <c r="AF18" s="164"/>
      <c r="AG18" s="748"/>
      <c r="AH18" s="164"/>
      <c r="AI18" s="164"/>
      <c r="AJ18" s="164"/>
      <c r="AK18" s="700"/>
      <c r="AM18" s="106"/>
      <c r="AN18" s="106"/>
    </row>
    <row r="19" spans="1:1026">
      <c r="A19" s="66">
        <v>3</v>
      </c>
      <c r="B19" s="67" t="s">
        <v>16</v>
      </c>
      <c r="C19" s="67">
        <v>3</v>
      </c>
      <c r="D19" s="67" t="s">
        <v>16</v>
      </c>
      <c r="E19" s="68" t="s">
        <v>70</v>
      </c>
      <c r="F19" s="67" t="s">
        <v>16</v>
      </c>
      <c r="G19" s="69" t="s">
        <v>70</v>
      </c>
      <c r="H19" s="166" t="s">
        <v>93</v>
      </c>
      <c r="I19" s="167">
        <v>0</v>
      </c>
      <c r="J19" s="168">
        <v>0</v>
      </c>
      <c r="K19" s="167">
        <v>0</v>
      </c>
      <c r="L19" s="168">
        <v>0</v>
      </c>
      <c r="M19" s="167">
        <v>0</v>
      </c>
      <c r="N19" s="168">
        <v>0</v>
      </c>
      <c r="O19" s="169">
        <v>0</v>
      </c>
      <c r="P19" s="170"/>
      <c r="Q19" s="169">
        <v>0</v>
      </c>
      <c r="R19" s="170">
        <v>0</v>
      </c>
      <c r="S19" s="171">
        <v>0</v>
      </c>
      <c r="T19" s="171">
        <v>0</v>
      </c>
      <c r="U19" s="171"/>
      <c r="V19" s="171">
        <v>0</v>
      </c>
      <c r="W19" s="172">
        <v>0</v>
      </c>
      <c r="X19" s="173">
        <v>0</v>
      </c>
      <c r="Y19" s="174">
        <v>0</v>
      </c>
      <c r="Z19" s="175">
        <v>0</v>
      </c>
      <c r="AA19" s="176">
        <v>0</v>
      </c>
      <c r="AB19" s="175">
        <v>0</v>
      </c>
      <c r="AC19" s="176">
        <v>0</v>
      </c>
      <c r="AD19" s="175">
        <v>0</v>
      </c>
      <c r="AE19" s="176"/>
      <c r="AF19" s="175">
        <v>0</v>
      </c>
      <c r="AG19" s="749"/>
      <c r="AH19" s="175">
        <v>0</v>
      </c>
      <c r="AI19" s="175">
        <v>0</v>
      </c>
      <c r="AJ19" s="175">
        <v>0</v>
      </c>
      <c r="AK19" s="703"/>
      <c r="AM19" s="106"/>
      <c r="AN19" s="106"/>
    </row>
    <row r="20" spans="1:1026">
      <c r="A20" s="66">
        <v>3</v>
      </c>
      <c r="B20" s="67" t="s">
        <v>16</v>
      </c>
      <c r="C20" s="67">
        <v>4</v>
      </c>
      <c r="D20" s="67" t="s">
        <v>16</v>
      </c>
      <c r="E20" s="68" t="s">
        <v>70</v>
      </c>
      <c r="F20" s="67" t="s">
        <v>16</v>
      </c>
      <c r="G20" s="69" t="s">
        <v>70</v>
      </c>
      <c r="H20" s="70" t="s">
        <v>94</v>
      </c>
      <c r="I20" s="71">
        <v>0</v>
      </c>
      <c r="J20" s="72">
        <v>0</v>
      </c>
      <c r="K20" s="71">
        <v>0</v>
      </c>
      <c r="L20" s="72">
        <v>0</v>
      </c>
      <c r="M20" s="71">
        <v>0</v>
      </c>
      <c r="N20" s="72">
        <v>0</v>
      </c>
      <c r="O20" s="177">
        <v>0</v>
      </c>
      <c r="P20" s="178"/>
      <c r="Q20" s="177">
        <v>0</v>
      </c>
      <c r="R20" s="178">
        <v>0</v>
      </c>
      <c r="S20" s="75">
        <v>0</v>
      </c>
      <c r="T20" s="75">
        <v>0</v>
      </c>
      <c r="U20" s="75"/>
      <c r="V20" s="75">
        <v>0</v>
      </c>
      <c r="W20" s="76">
        <v>0</v>
      </c>
      <c r="X20" s="77">
        <v>0</v>
      </c>
      <c r="Y20" s="78">
        <v>0</v>
      </c>
      <c r="Z20" s="79">
        <v>0</v>
      </c>
      <c r="AA20" s="179">
        <v>0</v>
      </c>
      <c r="AB20" s="79">
        <v>0</v>
      </c>
      <c r="AC20" s="179">
        <v>0</v>
      </c>
      <c r="AD20" s="79">
        <v>0</v>
      </c>
      <c r="AE20" s="179"/>
      <c r="AF20" s="79">
        <v>0</v>
      </c>
      <c r="AG20" s="743"/>
      <c r="AH20" s="79">
        <v>0</v>
      </c>
      <c r="AI20" s="79">
        <v>0</v>
      </c>
      <c r="AJ20" s="79">
        <v>0</v>
      </c>
      <c r="AK20" s="698"/>
      <c r="AM20" s="106"/>
      <c r="AN20" s="106"/>
    </row>
    <row r="21" spans="1:1026">
      <c r="A21" s="66">
        <v>3</v>
      </c>
      <c r="B21" s="67" t="s">
        <v>16</v>
      </c>
      <c r="C21" s="67">
        <v>5</v>
      </c>
      <c r="D21" s="67" t="s">
        <v>16</v>
      </c>
      <c r="E21" s="68" t="s">
        <v>70</v>
      </c>
      <c r="F21" s="67" t="s">
        <v>16</v>
      </c>
      <c r="G21" s="69" t="s">
        <v>70</v>
      </c>
      <c r="H21" s="70" t="s">
        <v>95</v>
      </c>
      <c r="I21" s="71">
        <v>0</v>
      </c>
      <c r="J21" s="72">
        <v>0</v>
      </c>
      <c r="K21" s="71">
        <v>0</v>
      </c>
      <c r="L21" s="72">
        <v>0</v>
      </c>
      <c r="M21" s="71">
        <v>0</v>
      </c>
      <c r="N21" s="72">
        <v>0</v>
      </c>
      <c r="O21" s="177">
        <v>0</v>
      </c>
      <c r="P21" s="178"/>
      <c r="Q21" s="177">
        <v>0</v>
      </c>
      <c r="R21" s="178">
        <v>0</v>
      </c>
      <c r="S21" s="75">
        <v>0</v>
      </c>
      <c r="T21" s="75">
        <v>0</v>
      </c>
      <c r="U21" s="75"/>
      <c r="V21" s="75">
        <v>0</v>
      </c>
      <c r="W21" s="76">
        <v>0</v>
      </c>
      <c r="X21" s="77">
        <v>0</v>
      </c>
      <c r="Y21" s="78">
        <v>0</v>
      </c>
      <c r="Z21" s="79">
        <v>0</v>
      </c>
      <c r="AA21" s="179">
        <v>0</v>
      </c>
      <c r="AB21" s="79">
        <v>0</v>
      </c>
      <c r="AC21" s="179">
        <v>0</v>
      </c>
      <c r="AD21" s="79">
        <v>0</v>
      </c>
      <c r="AE21" s="179"/>
      <c r="AF21" s="79">
        <v>0</v>
      </c>
      <c r="AG21" s="743"/>
      <c r="AH21" s="79">
        <v>0</v>
      </c>
      <c r="AI21" s="79">
        <v>0</v>
      </c>
      <c r="AJ21" s="79">
        <v>0</v>
      </c>
      <c r="AK21" s="698"/>
      <c r="AM21" s="106"/>
      <c r="AN21" s="106"/>
    </row>
    <row r="22" spans="1:1026">
      <c r="A22" s="66">
        <v>3</v>
      </c>
      <c r="B22" s="67" t="s">
        <v>16</v>
      </c>
      <c r="C22" s="67">
        <v>6</v>
      </c>
      <c r="D22" s="67" t="s">
        <v>16</v>
      </c>
      <c r="E22" s="68" t="s">
        <v>70</v>
      </c>
      <c r="F22" s="67" t="s">
        <v>16</v>
      </c>
      <c r="G22" s="69" t="s">
        <v>70</v>
      </c>
      <c r="H22" s="70" t="s">
        <v>96</v>
      </c>
      <c r="I22" s="71"/>
      <c r="J22" s="72"/>
      <c r="K22" s="71"/>
      <c r="L22" s="72"/>
      <c r="M22" s="71"/>
      <c r="N22" s="72"/>
      <c r="O22" s="177"/>
      <c r="P22" s="178"/>
      <c r="Q22" s="177"/>
      <c r="R22" s="178"/>
      <c r="S22" s="75"/>
      <c r="T22" s="75"/>
      <c r="U22" s="75"/>
      <c r="V22" s="75"/>
      <c r="W22" s="76"/>
      <c r="X22" s="77"/>
      <c r="Y22" s="78"/>
      <c r="Z22" s="79"/>
      <c r="AA22" s="179"/>
      <c r="AB22" s="79"/>
      <c r="AC22" s="179"/>
      <c r="AD22" s="79"/>
      <c r="AE22" s="179"/>
      <c r="AF22" s="79"/>
      <c r="AG22" s="743"/>
      <c r="AH22" s="79"/>
      <c r="AI22" s="79"/>
      <c r="AJ22" s="79"/>
      <c r="AK22" s="698"/>
      <c r="AM22" s="106"/>
      <c r="AN22" s="106"/>
    </row>
    <row r="23" spans="1:1026" ht="63.75">
      <c r="A23" s="66">
        <v>3</v>
      </c>
      <c r="B23" s="67" t="s">
        <v>16</v>
      </c>
      <c r="C23" s="67">
        <v>6</v>
      </c>
      <c r="D23" s="67" t="s">
        <v>16</v>
      </c>
      <c r="E23" s="68" t="s">
        <v>81</v>
      </c>
      <c r="F23" s="67" t="s">
        <v>16</v>
      </c>
      <c r="G23" s="69" t="s">
        <v>70</v>
      </c>
      <c r="H23" s="70" t="s">
        <v>97</v>
      </c>
      <c r="I23" s="180">
        <v>924379</v>
      </c>
      <c r="J23" s="181">
        <v>925751.71</v>
      </c>
      <c r="K23" s="180"/>
      <c r="L23" s="181">
        <v>360000</v>
      </c>
      <c r="M23" s="180"/>
      <c r="N23" s="181"/>
      <c r="O23" s="182"/>
      <c r="P23" s="183"/>
      <c r="Q23" s="182"/>
      <c r="R23" s="183"/>
      <c r="S23" s="184"/>
      <c r="T23" s="184"/>
      <c r="U23" s="184"/>
      <c r="V23" s="184"/>
      <c r="W23" s="185"/>
      <c r="X23" s="186"/>
      <c r="Y23" s="187"/>
      <c r="Z23" s="188"/>
      <c r="AA23" s="189"/>
      <c r="AB23" s="188"/>
      <c r="AC23" s="189"/>
      <c r="AD23" s="188"/>
      <c r="AE23" s="189">
        <v>0</v>
      </c>
      <c r="AF23" s="188"/>
      <c r="AH23" s="188"/>
      <c r="AI23" s="188"/>
      <c r="AJ23" s="188"/>
      <c r="AK23" s="704" t="s">
        <v>98</v>
      </c>
      <c r="AM23" s="106"/>
      <c r="AN23" s="106"/>
    </row>
    <row r="24" spans="1:1026" s="902" customFormat="1" ht="25.5">
      <c r="A24" s="882">
        <v>3</v>
      </c>
      <c r="B24" s="883" t="s">
        <v>16</v>
      </c>
      <c r="C24" s="883">
        <v>6</v>
      </c>
      <c r="D24" s="883" t="s">
        <v>16</v>
      </c>
      <c r="E24" s="884" t="s">
        <v>81</v>
      </c>
      <c r="F24" s="883" t="s">
        <v>16</v>
      </c>
      <c r="G24" s="885" t="s">
        <v>81</v>
      </c>
      <c r="H24" s="945" t="s">
        <v>99</v>
      </c>
      <c r="I24" s="916"/>
      <c r="J24" s="915"/>
      <c r="K24" s="916">
        <f>ROUNDDOWN(11.7*41775+12*38834,0)</f>
        <v>954775</v>
      </c>
      <c r="L24" s="915">
        <v>497687</v>
      </c>
      <c r="M24" s="916">
        <f>ROUNDDOWN(11.7*41775+12*38834,0)</f>
        <v>954775</v>
      </c>
      <c r="N24" s="915">
        <v>967535.7</v>
      </c>
      <c r="O24" s="946">
        <f>ROUNDDOWN(12*41775+12*38834,0)</f>
        <v>967308</v>
      </c>
      <c r="P24" s="947">
        <v>720000</v>
      </c>
      <c r="Q24" s="946">
        <v>983364</v>
      </c>
      <c r="R24" s="947">
        <f>510516+360000</f>
        <v>870516</v>
      </c>
      <c r="S24" s="918">
        <f>ROUNDDOWN(13.3*42543+13.3*39404,0)</f>
        <v>1089895</v>
      </c>
      <c r="T24" s="918">
        <f>ROUNDDOWN(13.3*42543+13.3*39404,0)</f>
        <v>1089895</v>
      </c>
      <c r="U24" s="918"/>
      <c r="V24" s="918">
        <f>ROUNDDOWN(13.3*42543+13.3*39404,0)</f>
        <v>1089895</v>
      </c>
      <c r="W24" s="948">
        <f>557908.4+399000</f>
        <v>956908.4</v>
      </c>
      <c r="X24" s="921">
        <f>ROUNDDOWN(13.3*42543+13.3*39404,0)</f>
        <v>1089895</v>
      </c>
      <c r="Y24" s="922"/>
      <c r="Z24" s="949">
        <v>1089895</v>
      </c>
      <c r="AA24" s="950">
        <v>1057296.8</v>
      </c>
      <c r="AB24" s="949">
        <f>(38873+41948)*15</f>
        <v>1212315</v>
      </c>
      <c r="AC24" s="950">
        <v>1057296.8</v>
      </c>
      <c r="AD24" s="949">
        <f>(38873+41948)*15</f>
        <v>1212315</v>
      </c>
      <c r="AE24" s="950">
        <v>1185690</v>
      </c>
      <c r="AF24" s="949">
        <f>(38873+41948)*18</f>
        <v>1454778</v>
      </c>
      <c r="AG24" s="951">
        <v>540000</v>
      </c>
      <c r="AH24" s="949">
        <f>(38873+41948)*18</f>
        <v>1454778</v>
      </c>
      <c r="AI24" s="949">
        <f>(38873+41948)*18</f>
        <v>1454778</v>
      </c>
      <c r="AJ24" s="1048">
        <f>(38873+41948)*18.6</f>
        <v>1503270.6</v>
      </c>
      <c r="AK24" s="1049" t="s">
        <v>524</v>
      </c>
      <c r="AL24" s="899"/>
      <c r="AM24" s="900"/>
      <c r="AN24" s="900"/>
      <c r="AO24" s="901"/>
      <c r="AP24" s="901"/>
      <c r="AQ24" s="901"/>
      <c r="AR24" s="901"/>
      <c r="AS24" s="901"/>
      <c r="AT24" s="901"/>
      <c r="AU24" s="901"/>
      <c r="AV24" s="901"/>
      <c r="AW24" s="901"/>
      <c r="AX24" s="901"/>
      <c r="AY24" s="901"/>
      <c r="AZ24" s="901"/>
      <c r="BA24" s="901"/>
      <c r="BB24" s="901"/>
      <c r="BC24" s="901"/>
      <c r="BD24" s="901"/>
      <c r="BE24" s="901"/>
      <c r="BF24" s="901"/>
      <c r="BG24" s="901"/>
      <c r="BH24" s="901"/>
      <c r="BI24" s="901"/>
      <c r="BJ24" s="901"/>
      <c r="BK24" s="901"/>
      <c r="BL24" s="901"/>
      <c r="BM24" s="901"/>
      <c r="BN24" s="901"/>
      <c r="BO24" s="901"/>
      <c r="BP24" s="901"/>
      <c r="BQ24" s="901"/>
      <c r="BR24" s="901"/>
      <c r="BS24" s="901"/>
      <c r="BT24" s="901"/>
      <c r="BU24" s="901"/>
      <c r="BV24" s="901"/>
      <c r="BW24" s="901"/>
      <c r="BX24" s="901"/>
      <c r="BY24" s="901"/>
      <c r="BZ24" s="901"/>
      <c r="CA24" s="901"/>
      <c r="CB24" s="901"/>
      <c r="CC24" s="901"/>
      <c r="CD24" s="901"/>
      <c r="CE24" s="901"/>
      <c r="CF24" s="901"/>
      <c r="CG24" s="901"/>
      <c r="CH24" s="901"/>
      <c r="CI24" s="901"/>
      <c r="CJ24" s="901"/>
      <c r="CK24" s="901"/>
      <c r="CL24" s="901"/>
      <c r="CM24" s="901"/>
      <c r="CN24" s="901"/>
      <c r="CO24" s="901"/>
      <c r="CP24" s="901"/>
      <c r="CQ24" s="901"/>
      <c r="CR24" s="901"/>
      <c r="CS24" s="901"/>
      <c r="CT24" s="901"/>
      <c r="CU24" s="901"/>
      <c r="CV24" s="901"/>
      <c r="CW24" s="901"/>
      <c r="CX24" s="901"/>
      <c r="CY24" s="901"/>
      <c r="CZ24" s="901"/>
      <c r="DA24" s="901"/>
      <c r="DB24" s="901"/>
      <c r="DC24" s="901"/>
      <c r="DD24" s="901"/>
      <c r="DE24" s="901"/>
      <c r="DF24" s="901"/>
      <c r="DG24" s="901"/>
      <c r="DH24" s="901"/>
      <c r="DI24" s="901"/>
      <c r="DJ24" s="901"/>
      <c r="DK24" s="901"/>
      <c r="DL24" s="901"/>
      <c r="DM24" s="901"/>
      <c r="DN24" s="901"/>
      <c r="DO24" s="901"/>
      <c r="DP24" s="901"/>
      <c r="DQ24" s="901"/>
      <c r="DR24" s="901"/>
      <c r="DS24" s="901"/>
      <c r="DT24" s="901"/>
      <c r="DU24" s="901"/>
      <c r="DV24" s="901"/>
      <c r="DW24" s="901"/>
      <c r="DX24" s="901"/>
      <c r="DY24" s="901"/>
      <c r="DZ24" s="901"/>
      <c r="EA24" s="901"/>
      <c r="EB24" s="901"/>
      <c r="EC24" s="901"/>
      <c r="ED24" s="901"/>
      <c r="EE24" s="901"/>
      <c r="EF24" s="901"/>
      <c r="EG24" s="901"/>
      <c r="EH24" s="901"/>
      <c r="EI24" s="901"/>
      <c r="EJ24" s="901"/>
      <c r="EK24" s="901"/>
      <c r="EL24" s="901"/>
      <c r="EM24" s="901"/>
      <c r="EN24" s="901"/>
      <c r="EO24" s="901"/>
      <c r="EP24" s="901"/>
      <c r="EQ24" s="901"/>
      <c r="ER24" s="901"/>
      <c r="ES24" s="901"/>
      <c r="ET24" s="901"/>
      <c r="EU24" s="901"/>
      <c r="EV24" s="901"/>
      <c r="EW24" s="901"/>
      <c r="EX24" s="901"/>
      <c r="EY24" s="901"/>
      <c r="EZ24" s="901"/>
      <c r="FA24" s="901"/>
      <c r="FB24" s="901"/>
      <c r="FC24" s="901"/>
      <c r="FD24" s="901"/>
      <c r="FE24" s="901"/>
      <c r="FF24" s="901"/>
      <c r="FG24" s="901"/>
      <c r="FH24" s="901"/>
      <c r="FI24" s="901"/>
      <c r="FJ24" s="901"/>
      <c r="FK24" s="901"/>
      <c r="FL24" s="901"/>
      <c r="FM24" s="901"/>
      <c r="FN24" s="901"/>
      <c r="FO24" s="901"/>
      <c r="FP24" s="901"/>
      <c r="FQ24" s="901"/>
      <c r="FR24" s="901"/>
      <c r="FS24" s="901"/>
      <c r="FT24" s="901"/>
      <c r="FU24" s="901"/>
      <c r="FV24" s="901"/>
      <c r="FW24" s="901"/>
      <c r="FX24" s="901"/>
      <c r="FY24" s="901"/>
      <c r="FZ24" s="901"/>
      <c r="GA24" s="901"/>
      <c r="GB24" s="901"/>
      <c r="GC24" s="901"/>
      <c r="GD24" s="901"/>
      <c r="GE24" s="901"/>
      <c r="GF24" s="901"/>
      <c r="GG24" s="901"/>
      <c r="GH24" s="901"/>
      <c r="GI24" s="901"/>
      <c r="GJ24" s="901"/>
      <c r="GK24" s="901"/>
      <c r="GL24" s="901"/>
      <c r="GM24" s="901"/>
      <c r="GN24" s="901"/>
      <c r="GO24" s="901"/>
      <c r="GP24" s="901"/>
      <c r="GQ24" s="901"/>
      <c r="GR24" s="901"/>
      <c r="GS24" s="901"/>
      <c r="GT24" s="901"/>
      <c r="GU24" s="901"/>
      <c r="GV24" s="901"/>
      <c r="GW24" s="901"/>
      <c r="GX24" s="901"/>
      <c r="GY24" s="901"/>
      <c r="GZ24" s="901"/>
      <c r="HA24" s="901"/>
      <c r="HB24" s="901"/>
      <c r="HC24" s="901"/>
      <c r="HD24" s="901"/>
      <c r="HE24" s="901"/>
      <c r="HF24" s="901"/>
      <c r="HG24" s="901"/>
      <c r="HH24" s="901"/>
      <c r="HI24" s="901"/>
      <c r="HJ24" s="901"/>
      <c r="HK24" s="901"/>
      <c r="HL24" s="901"/>
      <c r="HM24" s="901"/>
      <c r="HN24" s="901"/>
      <c r="HO24" s="901"/>
      <c r="HP24" s="901"/>
      <c r="HQ24" s="901"/>
      <c r="HR24" s="901"/>
      <c r="HS24" s="901"/>
      <c r="HT24" s="901"/>
      <c r="HU24" s="901"/>
      <c r="HV24" s="901"/>
      <c r="HW24" s="901"/>
      <c r="HX24" s="901"/>
      <c r="HY24" s="901"/>
      <c r="HZ24" s="901"/>
      <c r="IA24" s="901"/>
      <c r="IB24" s="901"/>
      <c r="IC24" s="901"/>
      <c r="ID24" s="901"/>
      <c r="IE24" s="901"/>
      <c r="IF24" s="901"/>
      <c r="IG24" s="901"/>
      <c r="IH24" s="901"/>
      <c r="II24" s="901"/>
      <c r="IJ24" s="901"/>
      <c r="IK24" s="901"/>
      <c r="IL24" s="901"/>
      <c r="IM24" s="901"/>
      <c r="IN24" s="901"/>
      <c r="IO24" s="901"/>
      <c r="IP24" s="901"/>
      <c r="IQ24" s="901"/>
      <c r="IR24" s="901"/>
      <c r="IS24" s="901"/>
      <c r="IT24" s="901"/>
      <c r="IU24" s="901"/>
      <c r="IV24" s="901"/>
      <c r="IW24" s="901"/>
      <c r="IX24" s="901"/>
      <c r="IY24" s="901"/>
      <c r="IZ24" s="901"/>
      <c r="JA24" s="901"/>
      <c r="JB24" s="901"/>
      <c r="JC24" s="901"/>
      <c r="JD24" s="901"/>
      <c r="JE24" s="901"/>
      <c r="JF24" s="901"/>
      <c r="JG24" s="901"/>
      <c r="JH24" s="901"/>
      <c r="JI24" s="901"/>
      <c r="JJ24" s="901"/>
      <c r="JK24" s="901"/>
      <c r="JL24" s="901"/>
      <c r="JM24" s="901"/>
      <c r="JN24" s="901"/>
      <c r="JO24" s="901"/>
      <c r="JP24" s="901"/>
      <c r="JQ24" s="901"/>
      <c r="JR24" s="901"/>
      <c r="JS24" s="901"/>
      <c r="JT24" s="901"/>
      <c r="JU24" s="901"/>
      <c r="JV24" s="901"/>
      <c r="JW24" s="901"/>
      <c r="JX24" s="901"/>
      <c r="JY24" s="901"/>
      <c r="JZ24" s="901"/>
      <c r="KA24" s="901"/>
      <c r="KB24" s="901"/>
      <c r="KC24" s="901"/>
      <c r="KD24" s="901"/>
      <c r="KE24" s="901"/>
      <c r="KF24" s="901"/>
      <c r="KG24" s="901"/>
      <c r="KH24" s="901"/>
      <c r="KI24" s="901"/>
      <c r="KJ24" s="901"/>
      <c r="KK24" s="901"/>
      <c r="KL24" s="901"/>
      <c r="KM24" s="901"/>
      <c r="KN24" s="901"/>
      <c r="KO24" s="901"/>
      <c r="KP24" s="901"/>
      <c r="KQ24" s="901"/>
      <c r="KR24" s="901"/>
      <c r="KS24" s="901"/>
      <c r="KT24" s="901"/>
      <c r="KU24" s="901"/>
      <c r="KV24" s="901"/>
      <c r="KW24" s="901"/>
      <c r="KX24" s="901"/>
      <c r="KY24" s="901"/>
      <c r="KZ24" s="901"/>
      <c r="LA24" s="901"/>
      <c r="LB24" s="901"/>
      <c r="LC24" s="901"/>
      <c r="LD24" s="901"/>
      <c r="LE24" s="901"/>
      <c r="LF24" s="901"/>
      <c r="LG24" s="901"/>
      <c r="LH24" s="901"/>
      <c r="LI24" s="901"/>
      <c r="LJ24" s="901"/>
      <c r="LK24" s="901"/>
      <c r="LL24" s="901"/>
      <c r="LM24" s="901"/>
      <c r="LN24" s="901"/>
      <c r="LO24" s="901"/>
      <c r="LP24" s="901"/>
      <c r="LQ24" s="901"/>
      <c r="LR24" s="901"/>
      <c r="LS24" s="901"/>
      <c r="LT24" s="901"/>
      <c r="LU24" s="901"/>
      <c r="LV24" s="901"/>
      <c r="LW24" s="901"/>
      <c r="LX24" s="901"/>
      <c r="LY24" s="901"/>
      <c r="LZ24" s="901"/>
      <c r="MA24" s="901"/>
      <c r="MB24" s="901"/>
      <c r="MC24" s="901"/>
      <c r="MD24" s="901"/>
      <c r="ME24" s="901"/>
      <c r="MF24" s="901"/>
      <c r="MG24" s="901"/>
      <c r="MH24" s="901"/>
      <c r="MI24" s="901"/>
      <c r="MJ24" s="901"/>
      <c r="MK24" s="901"/>
      <c r="ML24" s="901"/>
      <c r="MM24" s="901"/>
      <c r="MN24" s="901"/>
      <c r="MO24" s="901"/>
      <c r="MP24" s="901"/>
      <c r="MQ24" s="901"/>
      <c r="MR24" s="901"/>
      <c r="MS24" s="901"/>
      <c r="MT24" s="901"/>
      <c r="MU24" s="901"/>
      <c r="MV24" s="901"/>
      <c r="MW24" s="901"/>
      <c r="MX24" s="901"/>
      <c r="MY24" s="901"/>
      <c r="MZ24" s="901"/>
      <c r="NA24" s="901"/>
      <c r="NB24" s="901"/>
      <c r="NC24" s="901"/>
      <c r="ND24" s="901"/>
      <c r="NE24" s="901"/>
      <c r="NF24" s="901"/>
      <c r="NG24" s="901"/>
      <c r="NH24" s="901"/>
      <c r="NI24" s="901"/>
      <c r="NJ24" s="901"/>
      <c r="NK24" s="901"/>
      <c r="NL24" s="901"/>
      <c r="NM24" s="901"/>
      <c r="NN24" s="901"/>
      <c r="NO24" s="901"/>
      <c r="NP24" s="901"/>
      <c r="NQ24" s="901"/>
      <c r="NR24" s="901"/>
      <c r="NS24" s="901"/>
      <c r="NT24" s="901"/>
      <c r="NU24" s="901"/>
      <c r="NV24" s="901"/>
      <c r="NW24" s="901"/>
      <c r="NX24" s="901"/>
      <c r="NY24" s="901"/>
      <c r="NZ24" s="901"/>
      <c r="OA24" s="901"/>
      <c r="OB24" s="901"/>
      <c r="OC24" s="901"/>
      <c r="OD24" s="901"/>
      <c r="OE24" s="901"/>
      <c r="OF24" s="901"/>
      <c r="OG24" s="901"/>
      <c r="OH24" s="901"/>
      <c r="OI24" s="901"/>
      <c r="OJ24" s="901"/>
      <c r="OK24" s="901"/>
      <c r="OL24" s="901"/>
      <c r="OM24" s="901"/>
      <c r="ON24" s="901"/>
      <c r="OO24" s="901"/>
      <c r="OP24" s="901"/>
      <c r="OQ24" s="901"/>
      <c r="OR24" s="901"/>
      <c r="OS24" s="901"/>
      <c r="OT24" s="901"/>
      <c r="OU24" s="901"/>
      <c r="OV24" s="901"/>
      <c r="OW24" s="901"/>
      <c r="OX24" s="901"/>
      <c r="OY24" s="901"/>
      <c r="OZ24" s="901"/>
      <c r="PA24" s="901"/>
      <c r="PB24" s="901"/>
      <c r="PC24" s="901"/>
      <c r="PD24" s="901"/>
      <c r="PE24" s="901"/>
      <c r="PF24" s="901"/>
      <c r="PG24" s="901"/>
      <c r="PH24" s="901"/>
      <c r="PI24" s="901"/>
      <c r="PJ24" s="901"/>
      <c r="PK24" s="901"/>
      <c r="PL24" s="901"/>
      <c r="PM24" s="901"/>
      <c r="PN24" s="901"/>
      <c r="PO24" s="901"/>
      <c r="PP24" s="901"/>
      <c r="PQ24" s="901"/>
      <c r="PR24" s="901"/>
      <c r="PS24" s="901"/>
      <c r="PT24" s="901"/>
      <c r="PU24" s="901"/>
      <c r="PV24" s="901"/>
      <c r="PW24" s="901"/>
      <c r="PX24" s="901"/>
      <c r="PY24" s="901"/>
      <c r="PZ24" s="901"/>
      <c r="QA24" s="901"/>
      <c r="QB24" s="901"/>
      <c r="QC24" s="901"/>
      <c r="QD24" s="901"/>
      <c r="QE24" s="901"/>
      <c r="QF24" s="901"/>
      <c r="QG24" s="901"/>
      <c r="QH24" s="901"/>
      <c r="QI24" s="901"/>
      <c r="QJ24" s="901"/>
      <c r="QK24" s="901"/>
      <c r="QL24" s="901"/>
      <c r="QM24" s="901"/>
      <c r="QN24" s="901"/>
      <c r="QO24" s="901"/>
      <c r="QP24" s="901"/>
      <c r="QQ24" s="901"/>
      <c r="QR24" s="901"/>
      <c r="QS24" s="901"/>
      <c r="QT24" s="901"/>
      <c r="QU24" s="901"/>
      <c r="QV24" s="901"/>
      <c r="QW24" s="901"/>
      <c r="QX24" s="901"/>
      <c r="QY24" s="901"/>
      <c r="QZ24" s="901"/>
      <c r="RA24" s="901"/>
      <c r="RB24" s="901"/>
      <c r="RC24" s="901"/>
      <c r="RD24" s="901"/>
      <c r="RE24" s="901"/>
      <c r="RF24" s="901"/>
      <c r="RG24" s="901"/>
      <c r="RH24" s="901"/>
      <c r="RI24" s="901"/>
      <c r="RJ24" s="901"/>
      <c r="RK24" s="901"/>
      <c r="RL24" s="901"/>
      <c r="RM24" s="901"/>
      <c r="RN24" s="901"/>
      <c r="RO24" s="901"/>
      <c r="RP24" s="901"/>
      <c r="RQ24" s="901"/>
      <c r="RR24" s="901"/>
      <c r="RS24" s="901"/>
      <c r="RT24" s="901"/>
      <c r="RU24" s="901"/>
      <c r="RV24" s="901"/>
      <c r="RW24" s="901"/>
      <c r="RX24" s="901"/>
      <c r="RY24" s="901"/>
      <c r="RZ24" s="901"/>
      <c r="SA24" s="901"/>
      <c r="SB24" s="901"/>
      <c r="SC24" s="901"/>
      <c r="SD24" s="901"/>
      <c r="SE24" s="901"/>
      <c r="SF24" s="901"/>
      <c r="SG24" s="901"/>
      <c r="SH24" s="901"/>
      <c r="SI24" s="901"/>
      <c r="SJ24" s="901"/>
      <c r="SK24" s="901"/>
      <c r="SL24" s="901"/>
      <c r="SM24" s="901"/>
      <c r="SN24" s="901"/>
      <c r="SO24" s="901"/>
      <c r="SP24" s="901"/>
      <c r="SQ24" s="901"/>
      <c r="SR24" s="901"/>
      <c r="SS24" s="901"/>
      <c r="ST24" s="901"/>
      <c r="SU24" s="901"/>
      <c r="SV24" s="901"/>
      <c r="SW24" s="901"/>
      <c r="SX24" s="901"/>
      <c r="SY24" s="901"/>
      <c r="SZ24" s="901"/>
      <c r="TA24" s="901"/>
      <c r="TB24" s="901"/>
      <c r="TC24" s="901"/>
      <c r="TD24" s="901"/>
      <c r="TE24" s="901"/>
      <c r="TF24" s="901"/>
      <c r="TG24" s="901"/>
      <c r="TH24" s="901"/>
      <c r="TI24" s="901"/>
      <c r="TJ24" s="901"/>
      <c r="TK24" s="901"/>
      <c r="TL24" s="901"/>
      <c r="TM24" s="901"/>
      <c r="TN24" s="901"/>
      <c r="TO24" s="901"/>
      <c r="TP24" s="901"/>
      <c r="TQ24" s="901"/>
      <c r="TR24" s="901"/>
      <c r="TS24" s="901"/>
      <c r="TT24" s="901"/>
      <c r="TU24" s="901"/>
      <c r="TV24" s="901"/>
      <c r="TW24" s="901"/>
      <c r="TX24" s="901"/>
      <c r="TY24" s="901"/>
      <c r="TZ24" s="901"/>
      <c r="UA24" s="901"/>
      <c r="UB24" s="901"/>
      <c r="UC24" s="901"/>
      <c r="UD24" s="901"/>
      <c r="UE24" s="901"/>
      <c r="UF24" s="901"/>
      <c r="UG24" s="901"/>
      <c r="UH24" s="901"/>
      <c r="UI24" s="901"/>
      <c r="UJ24" s="901"/>
      <c r="UK24" s="901"/>
      <c r="UL24" s="901"/>
      <c r="UM24" s="901"/>
      <c r="UN24" s="901"/>
      <c r="UO24" s="901"/>
      <c r="UP24" s="901"/>
      <c r="UQ24" s="901"/>
      <c r="UR24" s="901"/>
      <c r="US24" s="901"/>
      <c r="UT24" s="901"/>
      <c r="UU24" s="901"/>
      <c r="UV24" s="901"/>
      <c r="UW24" s="901"/>
      <c r="UX24" s="901"/>
      <c r="UY24" s="901"/>
      <c r="UZ24" s="901"/>
      <c r="VA24" s="901"/>
      <c r="VB24" s="901"/>
      <c r="VC24" s="901"/>
      <c r="VD24" s="901"/>
      <c r="VE24" s="901"/>
      <c r="VF24" s="901"/>
      <c r="VG24" s="901"/>
      <c r="VH24" s="901"/>
      <c r="VI24" s="901"/>
      <c r="VJ24" s="901"/>
      <c r="VK24" s="901"/>
      <c r="VL24" s="901"/>
      <c r="VM24" s="901"/>
      <c r="VN24" s="901"/>
      <c r="VO24" s="901"/>
      <c r="VP24" s="901"/>
      <c r="VQ24" s="901"/>
      <c r="VR24" s="901"/>
      <c r="VS24" s="901"/>
      <c r="VT24" s="901"/>
      <c r="VU24" s="901"/>
      <c r="VV24" s="901"/>
      <c r="VW24" s="901"/>
      <c r="VX24" s="901"/>
      <c r="VY24" s="901"/>
      <c r="VZ24" s="901"/>
      <c r="WA24" s="901"/>
      <c r="WB24" s="901"/>
      <c r="WC24" s="901"/>
      <c r="WD24" s="901"/>
      <c r="WE24" s="901"/>
      <c r="WF24" s="901"/>
      <c r="WG24" s="901"/>
      <c r="WH24" s="901"/>
      <c r="WI24" s="901"/>
      <c r="WJ24" s="901"/>
      <c r="WK24" s="901"/>
      <c r="WL24" s="901"/>
      <c r="WM24" s="901"/>
      <c r="WN24" s="901"/>
      <c r="WO24" s="901"/>
      <c r="WP24" s="901"/>
      <c r="WQ24" s="901"/>
      <c r="WR24" s="901"/>
      <c r="WS24" s="901"/>
      <c r="WT24" s="901"/>
      <c r="WU24" s="901"/>
      <c r="WV24" s="901"/>
      <c r="WW24" s="901"/>
      <c r="WX24" s="901"/>
      <c r="WY24" s="901"/>
      <c r="WZ24" s="901"/>
      <c r="XA24" s="901"/>
      <c r="XB24" s="901"/>
      <c r="XC24" s="901"/>
      <c r="XD24" s="901"/>
      <c r="XE24" s="901"/>
      <c r="XF24" s="901"/>
      <c r="XG24" s="901"/>
      <c r="XH24" s="901"/>
      <c r="XI24" s="901"/>
      <c r="XJ24" s="901"/>
      <c r="XK24" s="901"/>
      <c r="XL24" s="901"/>
      <c r="XM24" s="901"/>
      <c r="XN24" s="901"/>
      <c r="XO24" s="901"/>
      <c r="XP24" s="901"/>
      <c r="XQ24" s="901"/>
      <c r="XR24" s="901"/>
      <c r="XS24" s="901"/>
      <c r="XT24" s="901"/>
      <c r="XU24" s="901"/>
      <c r="XV24" s="901"/>
      <c r="XW24" s="901"/>
      <c r="XX24" s="901"/>
      <c r="XY24" s="901"/>
      <c r="XZ24" s="901"/>
      <c r="YA24" s="901"/>
      <c r="YB24" s="901"/>
      <c r="YC24" s="901"/>
      <c r="YD24" s="901"/>
      <c r="YE24" s="901"/>
      <c r="YF24" s="901"/>
      <c r="YG24" s="901"/>
      <c r="YH24" s="901"/>
      <c r="YI24" s="901"/>
      <c r="YJ24" s="901"/>
      <c r="YK24" s="901"/>
      <c r="YL24" s="901"/>
      <c r="YM24" s="901"/>
      <c r="YN24" s="901"/>
      <c r="YO24" s="901"/>
      <c r="YP24" s="901"/>
      <c r="YQ24" s="901"/>
      <c r="YR24" s="901"/>
      <c r="YS24" s="901"/>
      <c r="YT24" s="901"/>
      <c r="YU24" s="901"/>
      <c r="YV24" s="901"/>
      <c r="YW24" s="901"/>
      <c r="YX24" s="901"/>
      <c r="YY24" s="901"/>
      <c r="YZ24" s="901"/>
      <c r="ZA24" s="901"/>
      <c r="ZB24" s="901"/>
      <c r="ZC24" s="901"/>
      <c r="ZD24" s="901"/>
      <c r="ZE24" s="901"/>
      <c r="ZF24" s="901"/>
      <c r="ZG24" s="901"/>
      <c r="ZH24" s="901"/>
      <c r="ZI24" s="901"/>
      <c r="ZJ24" s="901"/>
      <c r="ZK24" s="901"/>
      <c r="ZL24" s="901"/>
      <c r="ZM24" s="901"/>
      <c r="ZN24" s="901"/>
      <c r="ZO24" s="901"/>
      <c r="ZP24" s="901"/>
      <c r="ZQ24" s="901"/>
      <c r="ZR24" s="901"/>
      <c r="ZS24" s="901"/>
      <c r="ZT24" s="901"/>
      <c r="ZU24" s="901"/>
      <c r="ZV24" s="901"/>
      <c r="ZW24" s="901"/>
      <c r="ZX24" s="901"/>
      <c r="ZY24" s="901"/>
      <c r="ZZ24" s="901"/>
      <c r="AAA24" s="901"/>
      <c r="AAB24" s="901"/>
      <c r="AAC24" s="901"/>
      <c r="AAD24" s="901"/>
      <c r="AAE24" s="901"/>
      <c r="AAF24" s="901"/>
      <c r="AAG24" s="901"/>
      <c r="AAH24" s="901"/>
      <c r="AAI24" s="901"/>
      <c r="AAJ24" s="901"/>
      <c r="AAK24" s="901"/>
      <c r="AAL24" s="901"/>
      <c r="AAM24" s="901"/>
      <c r="AAN24" s="901"/>
      <c r="AAO24" s="901"/>
      <c r="AAP24" s="901"/>
      <c r="AAQ24" s="901"/>
      <c r="AAR24" s="901"/>
      <c r="AAS24" s="901"/>
      <c r="AAT24" s="901"/>
      <c r="AAU24" s="901"/>
      <c r="AAV24" s="901"/>
      <c r="AAW24" s="901"/>
      <c r="AAX24" s="901"/>
      <c r="AAY24" s="901"/>
      <c r="AAZ24" s="901"/>
      <c r="ABA24" s="901"/>
      <c r="ABB24" s="901"/>
      <c r="ABC24" s="901"/>
      <c r="ABD24" s="901"/>
      <c r="ABE24" s="901"/>
      <c r="ABF24" s="901"/>
      <c r="ABG24" s="901"/>
      <c r="ABH24" s="901"/>
      <c r="ABI24" s="901"/>
      <c r="ABJ24" s="901"/>
      <c r="ABK24" s="901"/>
      <c r="ABL24" s="901"/>
      <c r="ABM24" s="901"/>
      <c r="ABN24" s="901"/>
      <c r="ABO24" s="901"/>
      <c r="ABP24" s="901"/>
      <c r="ABQ24" s="901"/>
      <c r="ABR24" s="901"/>
      <c r="ABS24" s="901"/>
      <c r="ABT24" s="901"/>
      <c r="ABU24" s="901"/>
      <c r="ABV24" s="901"/>
      <c r="ABW24" s="901"/>
      <c r="ABX24" s="901"/>
      <c r="ABY24" s="901"/>
      <c r="ABZ24" s="901"/>
      <c r="ACA24" s="901"/>
      <c r="ACB24" s="901"/>
      <c r="ACC24" s="901"/>
      <c r="ACD24" s="901"/>
      <c r="ACE24" s="901"/>
      <c r="ACF24" s="901"/>
      <c r="ACG24" s="901"/>
      <c r="ACH24" s="901"/>
      <c r="ACI24" s="901"/>
      <c r="ACJ24" s="901"/>
      <c r="ACK24" s="901"/>
      <c r="ACL24" s="901"/>
      <c r="ACM24" s="901"/>
      <c r="ACN24" s="901"/>
      <c r="ACO24" s="901"/>
      <c r="ACP24" s="901"/>
      <c r="ACQ24" s="901"/>
      <c r="ACR24" s="901"/>
      <c r="ACS24" s="901"/>
      <c r="ACT24" s="901"/>
      <c r="ACU24" s="901"/>
      <c r="ACV24" s="901"/>
      <c r="ACW24" s="901"/>
      <c r="ACX24" s="901"/>
      <c r="ACY24" s="901"/>
      <c r="ACZ24" s="901"/>
      <c r="ADA24" s="901"/>
      <c r="ADB24" s="901"/>
      <c r="ADC24" s="901"/>
      <c r="ADD24" s="901"/>
      <c r="ADE24" s="901"/>
      <c r="ADF24" s="901"/>
      <c r="ADG24" s="901"/>
      <c r="ADH24" s="901"/>
      <c r="ADI24" s="901"/>
      <c r="ADJ24" s="901"/>
      <c r="ADK24" s="901"/>
      <c r="ADL24" s="901"/>
      <c r="ADM24" s="901"/>
      <c r="ADN24" s="901"/>
      <c r="ADO24" s="901"/>
      <c r="ADP24" s="901"/>
      <c r="ADQ24" s="901"/>
      <c r="ADR24" s="901"/>
      <c r="ADS24" s="901"/>
      <c r="ADT24" s="901"/>
      <c r="ADU24" s="901"/>
      <c r="ADV24" s="901"/>
      <c r="ADW24" s="901"/>
      <c r="ADX24" s="901"/>
      <c r="ADY24" s="901"/>
      <c r="ADZ24" s="901"/>
      <c r="AEA24" s="901"/>
      <c r="AEB24" s="901"/>
      <c r="AEC24" s="901"/>
      <c r="AED24" s="901"/>
      <c r="AEE24" s="901"/>
      <c r="AEF24" s="901"/>
      <c r="AEG24" s="901"/>
      <c r="AEH24" s="901"/>
      <c r="AEI24" s="901"/>
      <c r="AEJ24" s="901"/>
      <c r="AEK24" s="901"/>
      <c r="AEL24" s="901"/>
      <c r="AEM24" s="901"/>
      <c r="AEN24" s="901"/>
      <c r="AEO24" s="901"/>
      <c r="AEP24" s="901"/>
      <c r="AEQ24" s="901"/>
      <c r="AER24" s="901"/>
      <c r="AES24" s="901"/>
      <c r="AET24" s="901"/>
      <c r="AEU24" s="901"/>
      <c r="AEV24" s="901"/>
      <c r="AEW24" s="901"/>
      <c r="AEX24" s="901"/>
      <c r="AEY24" s="901"/>
      <c r="AEZ24" s="901"/>
      <c r="AFA24" s="901"/>
      <c r="AFB24" s="901"/>
      <c r="AFC24" s="901"/>
      <c r="AFD24" s="901"/>
      <c r="AFE24" s="901"/>
      <c r="AFF24" s="901"/>
      <c r="AFG24" s="901"/>
      <c r="AFH24" s="901"/>
      <c r="AFI24" s="901"/>
      <c r="AFJ24" s="901"/>
      <c r="AFK24" s="901"/>
      <c r="AFL24" s="901"/>
      <c r="AFM24" s="901"/>
      <c r="AFN24" s="901"/>
      <c r="AFO24" s="901"/>
      <c r="AFP24" s="901"/>
      <c r="AFQ24" s="901"/>
      <c r="AFR24" s="901"/>
      <c r="AFS24" s="901"/>
      <c r="AFT24" s="901"/>
      <c r="AFU24" s="901"/>
      <c r="AFV24" s="901"/>
      <c r="AFW24" s="901"/>
      <c r="AFX24" s="901"/>
      <c r="AFY24" s="901"/>
      <c r="AFZ24" s="901"/>
      <c r="AGA24" s="901"/>
      <c r="AGB24" s="901"/>
      <c r="AGC24" s="901"/>
      <c r="AGD24" s="901"/>
      <c r="AGE24" s="901"/>
      <c r="AGF24" s="901"/>
      <c r="AGG24" s="901"/>
      <c r="AGH24" s="901"/>
      <c r="AGI24" s="901"/>
      <c r="AGJ24" s="901"/>
      <c r="AGK24" s="901"/>
      <c r="AGL24" s="901"/>
      <c r="AGM24" s="901"/>
      <c r="AGN24" s="901"/>
      <c r="AGO24" s="901"/>
      <c r="AGP24" s="901"/>
      <c r="AGQ24" s="901"/>
      <c r="AGR24" s="901"/>
      <c r="AGS24" s="901"/>
      <c r="AGT24" s="901"/>
      <c r="AGU24" s="901"/>
      <c r="AGV24" s="901"/>
      <c r="AGW24" s="901"/>
      <c r="AGX24" s="901"/>
      <c r="AGY24" s="901"/>
      <c r="AGZ24" s="901"/>
      <c r="AHA24" s="901"/>
      <c r="AHB24" s="901"/>
      <c r="AHC24" s="901"/>
      <c r="AHD24" s="901"/>
      <c r="AHE24" s="901"/>
      <c r="AHF24" s="901"/>
      <c r="AHG24" s="901"/>
      <c r="AHH24" s="901"/>
      <c r="AHI24" s="901"/>
      <c r="AHJ24" s="901"/>
      <c r="AHK24" s="901"/>
      <c r="AHL24" s="901"/>
      <c r="AHM24" s="901"/>
      <c r="AHN24" s="901"/>
      <c r="AHO24" s="901"/>
      <c r="AHP24" s="901"/>
      <c r="AHQ24" s="901"/>
      <c r="AHR24" s="901"/>
      <c r="AHS24" s="901"/>
      <c r="AHT24" s="901"/>
      <c r="AHU24" s="901"/>
      <c r="AHV24" s="901"/>
      <c r="AHW24" s="901"/>
      <c r="AHX24" s="901"/>
      <c r="AHY24" s="901"/>
      <c r="AHZ24" s="901"/>
      <c r="AIA24" s="901"/>
      <c r="AIB24" s="901"/>
      <c r="AIC24" s="901"/>
      <c r="AID24" s="901"/>
      <c r="AIE24" s="901"/>
      <c r="AIF24" s="901"/>
      <c r="AIG24" s="901"/>
      <c r="AIH24" s="901"/>
      <c r="AII24" s="901"/>
      <c r="AIJ24" s="901"/>
      <c r="AIK24" s="901"/>
      <c r="AIL24" s="901"/>
      <c r="AIM24" s="901"/>
      <c r="AIN24" s="901"/>
      <c r="AIO24" s="901"/>
      <c r="AIP24" s="901"/>
      <c r="AIQ24" s="901"/>
      <c r="AIR24" s="901"/>
      <c r="AIS24" s="901"/>
      <c r="AIT24" s="901"/>
      <c r="AIU24" s="901"/>
      <c r="AIV24" s="901"/>
      <c r="AIW24" s="901"/>
      <c r="AIX24" s="901"/>
      <c r="AIY24" s="901"/>
      <c r="AIZ24" s="901"/>
      <c r="AJA24" s="901"/>
      <c r="AJB24" s="901"/>
      <c r="AJC24" s="901"/>
      <c r="AJD24" s="901"/>
      <c r="AJE24" s="901"/>
      <c r="AJF24" s="901"/>
      <c r="AJG24" s="901"/>
      <c r="AJH24" s="901"/>
      <c r="AJI24" s="901"/>
      <c r="AJJ24" s="901"/>
      <c r="AJK24" s="901"/>
      <c r="AJL24" s="901"/>
      <c r="AJM24" s="901"/>
      <c r="AJN24" s="901"/>
      <c r="AJO24" s="901"/>
      <c r="AJP24" s="901"/>
      <c r="AJQ24" s="901"/>
      <c r="AJR24" s="901"/>
      <c r="AJS24" s="901"/>
      <c r="AJT24" s="901"/>
      <c r="AJU24" s="901"/>
      <c r="AJV24" s="901"/>
      <c r="AJW24" s="901"/>
      <c r="AJX24" s="901"/>
      <c r="AJY24" s="901"/>
      <c r="AJZ24" s="901"/>
      <c r="AKA24" s="901"/>
      <c r="AKB24" s="901"/>
      <c r="AKC24" s="901"/>
      <c r="AKD24" s="901"/>
      <c r="AKE24" s="901"/>
      <c r="AKF24" s="901"/>
      <c r="AKG24" s="901"/>
      <c r="AKH24" s="901"/>
      <c r="AKI24" s="901"/>
      <c r="AKJ24" s="901"/>
      <c r="AKK24" s="901"/>
      <c r="AKL24" s="901"/>
      <c r="AKM24" s="901"/>
      <c r="AKN24" s="901"/>
      <c r="AKO24" s="901"/>
      <c r="AKP24" s="901"/>
      <c r="AKQ24" s="901"/>
      <c r="AKR24" s="901"/>
      <c r="AKS24" s="901"/>
      <c r="AKT24" s="901"/>
      <c r="AKU24" s="901"/>
      <c r="AKV24" s="901"/>
      <c r="AKW24" s="901"/>
      <c r="AKX24" s="901"/>
      <c r="AKY24" s="901"/>
      <c r="AKZ24" s="901"/>
      <c r="ALA24" s="901"/>
      <c r="ALB24" s="901"/>
      <c r="ALC24" s="901"/>
      <c r="ALD24" s="901"/>
      <c r="ALE24" s="901"/>
      <c r="ALF24" s="901"/>
      <c r="ALG24" s="901"/>
      <c r="ALH24" s="901"/>
      <c r="ALI24" s="901"/>
      <c r="ALJ24" s="901"/>
      <c r="ALK24" s="901"/>
      <c r="ALL24" s="901"/>
      <c r="ALM24" s="901"/>
      <c r="ALN24" s="901"/>
      <c r="ALO24" s="901"/>
      <c r="ALP24" s="901"/>
      <c r="ALQ24" s="901"/>
      <c r="ALR24" s="901"/>
      <c r="ALS24" s="901"/>
      <c r="ALT24" s="901"/>
      <c r="ALU24" s="901"/>
      <c r="ALV24" s="901"/>
      <c r="ALW24" s="901"/>
      <c r="ALX24" s="901"/>
      <c r="ALY24" s="901"/>
      <c r="ALZ24" s="901"/>
      <c r="AMA24" s="901"/>
      <c r="AMB24" s="901"/>
      <c r="AMC24" s="901"/>
      <c r="AMD24" s="901"/>
      <c r="AME24" s="901"/>
      <c r="AMF24" s="901"/>
      <c r="AMG24" s="901"/>
      <c r="AMH24" s="901"/>
      <c r="AMI24" s="901"/>
      <c r="AMJ24" s="901"/>
      <c r="AMK24" s="901"/>
      <c r="AML24" s="901"/>
    </row>
    <row r="25" spans="1:1026" s="902" customFormat="1" ht="25.5">
      <c r="A25" s="882">
        <v>3</v>
      </c>
      <c r="B25" s="883" t="s">
        <v>16</v>
      </c>
      <c r="C25" s="883">
        <v>6</v>
      </c>
      <c r="D25" s="883" t="s">
        <v>16</v>
      </c>
      <c r="E25" s="884" t="s">
        <v>81</v>
      </c>
      <c r="F25" s="883" t="s">
        <v>16</v>
      </c>
      <c r="G25" s="885" t="s">
        <v>84</v>
      </c>
      <c r="H25" s="908" t="s">
        <v>100</v>
      </c>
      <c r="I25" s="926"/>
      <c r="J25" s="927"/>
      <c r="K25" s="926">
        <f>ROUNDDOWN(6.84*739+7.14*687,0)</f>
        <v>9959</v>
      </c>
      <c r="L25" s="927">
        <v>5041.12</v>
      </c>
      <c r="M25" s="926">
        <f>ROUNDDOWN(6.84*739+7.14*687,0)</f>
        <v>9959</v>
      </c>
      <c r="N25" s="927">
        <v>9621.52</v>
      </c>
      <c r="O25" s="952">
        <f>ROUNDDOWN(7.14*739+7.14*687,0)</f>
        <v>10181</v>
      </c>
      <c r="P25" s="953">
        <v>0</v>
      </c>
      <c r="Q25" s="952">
        <v>9860</v>
      </c>
      <c r="R25" s="953">
        <v>5280</v>
      </c>
      <c r="S25" s="931">
        <f>ROUNDDOWN(6.6*694+6.6*800,0)</f>
        <v>9860</v>
      </c>
      <c r="T25" s="931">
        <f>ROUNDDOWN(6.6*694+6.6*800,0)</f>
        <v>9860</v>
      </c>
      <c r="U25" s="931"/>
      <c r="V25" s="931">
        <f>ROUNDDOWN(6.6*694+6.6*800,0)</f>
        <v>9860</v>
      </c>
      <c r="W25" s="932">
        <v>5804.14</v>
      </c>
      <c r="X25" s="933">
        <f>ROUNDDOWN(6.6*694+6.6*800,0)</f>
        <v>9860</v>
      </c>
      <c r="Y25" s="934"/>
      <c r="Z25" s="935">
        <v>9860</v>
      </c>
      <c r="AA25" s="936">
        <v>10482.540000000001</v>
      </c>
      <c r="AB25" s="935">
        <f>(701+794)*9.01</f>
        <v>13469.949999999999</v>
      </c>
      <c r="AC25" s="936">
        <v>10482.540000000001</v>
      </c>
      <c r="AD25" s="935">
        <f>(701+794)*9.01</f>
        <v>13469.949999999999</v>
      </c>
      <c r="AE25" s="936">
        <v>11319</v>
      </c>
      <c r="AF25" s="935">
        <f>(701+794)*18/15*9</f>
        <v>16146</v>
      </c>
      <c r="AG25" s="937"/>
      <c r="AH25" s="935">
        <f>(701+794)*18/15*9</f>
        <v>16146</v>
      </c>
      <c r="AI25" s="949">
        <f>701*11.25+794*11.25</f>
        <v>16818.75</v>
      </c>
      <c r="AJ25" s="1051">
        <f>(701+794)*(18.6/1.6)</f>
        <v>17379.375</v>
      </c>
      <c r="AK25" s="1050" t="s">
        <v>525</v>
      </c>
      <c r="AL25" s="899"/>
      <c r="AM25" s="900"/>
      <c r="AN25" s="900"/>
      <c r="AO25" s="901"/>
      <c r="AP25" s="901"/>
      <c r="AQ25" s="901"/>
      <c r="AR25" s="901"/>
      <c r="AS25" s="901"/>
      <c r="AT25" s="901"/>
      <c r="AU25" s="901"/>
      <c r="AV25" s="901"/>
      <c r="AW25" s="901"/>
      <c r="AX25" s="901"/>
      <c r="AY25" s="901"/>
      <c r="AZ25" s="901"/>
      <c r="BA25" s="901"/>
      <c r="BB25" s="901"/>
      <c r="BC25" s="901"/>
      <c r="BD25" s="901"/>
      <c r="BE25" s="901"/>
      <c r="BF25" s="901"/>
      <c r="BG25" s="901"/>
      <c r="BH25" s="901"/>
      <c r="BI25" s="901"/>
      <c r="BJ25" s="901"/>
      <c r="BK25" s="901"/>
      <c r="BL25" s="901"/>
      <c r="BM25" s="901"/>
      <c r="BN25" s="901"/>
      <c r="BO25" s="901"/>
      <c r="BP25" s="901"/>
      <c r="BQ25" s="901"/>
      <c r="BR25" s="901"/>
      <c r="BS25" s="901"/>
      <c r="BT25" s="901"/>
      <c r="BU25" s="901"/>
      <c r="BV25" s="901"/>
      <c r="BW25" s="901"/>
      <c r="BX25" s="901"/>
      <c r="BY25" s="901"/>
      <c r="BZ25" s="901"/>
      <c r="CA25" s="901"/>
      <c r="CB25" s="901"/>
      <c r="CC25" s="901"/>
      <c r="CD25" s="901"/>
      <c r="CE25" s="901"/>
      <c r="CF25" s="901"/>
      <c r="CG25" s="901"/>
      <c r="CH25" s="901"/>
      <c r="CI25" s="901"/>
      <c r="CJ25" s="901"/>
      <c r="CK25" s="901"/>
      <c r="CL25" s="901"/>
      <c r="CM25" s="901"/>
      <c r="CN25" s="901"/>
      <c r="CO25" s="901"/>
      <c r="CP25" s="901"/>
      <c r="CQ25" s="901"/>
      <c r="CR25" s="901"/>
      <c r="CS25" s="901"/>
      <c r="CT25" s="901"/>
      <c r="CU25" s="901"/>
      <c r="CV25" s="901"/>
      <c r="CW25" s="901"/>
      <c r="CX25" s="901"/>
      <c r="CY25" s="901"/>
      <c r="CZ25" s="901"/>
      <c r="DA25" s="901"/>
      <c r="DB25" s="901"/>
      <c r="DC25" s="901"/>
      <c r="DD25" s="901"/>
      <c r="DE25" s="901"/>
      <c r="DF25" s="901"/>
      <c r="DG25" s="901"/>
      <c r="DH25" s="901"/>
      <c r="DI25" s="901"/>
      <c r="DJ25" s="901"/>
      <c r="DK25" s="901"/>
      <c r="DL25" s="901"/>
      <c r="DM25" s="901"/>
      <c r="DN25" s="901"/>
      <c r="DO25" s="901"/>
      <c r="DP25" s="901"/>
      <c r="DQ25" s="901"/>
      <c r="DR25" s="901"/>
      <c r="DS25" s="901"/>
      <c r="DT25" s="901"/>
      <c r="DU25" s="901"/>
      <c r="DV25" s="901"/>
      <c r="DW25" s="901"/>
      <c r="DX25" s="901"/>
      <c r="DY25" s="901"/>
      <c r="DZ25" s="901"/>
      <c r="EA25" s="901"/>
      <c r="EB25" s="901"/>
      <c r="EC25" s="901"/>
      <c r="ED25" s="901"/>
      <c r="EE25" s="901"/>
      <c r="EF25" s="901"/>
      <c r="EG25" s="901"/>
      <c r="EH25" s="901"/>
      <c r="EI25" s="901"/>
      <c r="EJ25" s="901"/>
      <c r="EK25" s="901"/>
      <c r="EL25" s="901"/>
      <c r="EM25" s="901"/>
      <c r="EN25" s="901"/>
      <c r="EO25" s="901"/>
      <c r="EP25" s="901"/>
      <c r="EQ25" s="901"/>
      <c r="ER25" s="901"/>
      <c r="ES25" s="901"/>
      <c r="ET25" s="901"/>
      <c r="EU25" s="901"/>
      <c r="EV25" s="901"/>
      <c r="EW25" s="901"/>
      <c r="EX25" s="901"/>
      <c r="EY25" s="901"/>
      <c r="EZ25" s="901"/>
      <c r="FA25" s="901"/>
      <c r="FB25" s="901"/>
      <c r="FC25" s="901"/>
      <c r="FD25" s="901"/>
      <c r="FE25" s="901"/>
      <c r="FF25" s="901"/>
      <c r="FG25" s="901"/>
      <c r="FH25" s="901"/>
      <c r="FI25" s="901"/>
      <c r="FJ25" s="901"/>
      <c r="FK25" s="901"/>
      <c r="FL25" s="901"/>
      <c r="FM25" s="901"/>
      <c r="FN25" s="901"/>
      <c r="FO25" s="901"/>
      <c r="FP25" s="901"/>
      <c r="FQ25" s="901"/>
      <c r="FR25" s="901"/>
      <c r="FS25" s="901"/>
      <c r="FT25" s="901"/>
      <c r="FU25" s="901"/>
      <c r="FV25" s="901"/>
      <c r="FW25" s="901"/>
      <c r="FX25" s="901"/>
      <c r="FY25" s="901"/>
      <c r="FZ25" s="901"/>
      <c r="GA25" s="901"/>
      <c r="GB25" s="901"/>
      <c r="GC25" s="901"/>
      <c r="GD25" s="901"/>
      <c r="GE25" s="901"/>
      <c r="GF25" s="901"/>
      <c r="GG25" s="901"/>
      <c r="GH25" s="901"/>
      <c r="GI25" s="901"/>
      <c r="GJ25" s="901"/>
      <c r="GK25" s="901"/>
      <c r="GL25" s="901"/>
      <c r="GM25" s="901"/>
      <c r="GN25" s="901"/>
      <c r="GO25" s="901"/>
      <c r="GP25" s="901"/>
      <c r="GQ25" s="901"/>
      <c r="GR25" s="901"/>
      <c r="GS25" s="901"/>
      <c r="GT25" s="901"/>
      <c r="GU25" s="901"/>
      <c r="GV25" s="901"/>
      <c r="GW25" s="901"/>
      <c r="GX25" s="901"/>
      <c r="GY25" s="901"/>
      <c r="GZ25" s="901"/>
      <c r="HA25" s="901"/>
      <c r="HB25" s="901"/>
      <c r="HC25" s="901"/>
      <c r="HD25" s="901"/>
      <c r="HE25" s="901"/>
      <c r="HF25" s="901"/>
      <c r="HG25" s="901"/>
      <c r="HH25" s="901"/>
      <c r="HI25" s="901"/>
      <c r="HJ25" s="901"/>
      <c r="HK25" s="901"/>
      <c r="HL25" s="901"/>
      <c r="HM25" s="901"/>
      <c r="HN25" s="901"/>
      <c r="HO25" s="901"/>
      <c r="HP25" s="901"/>
      <c r="HQ25" s="901"/>
      <c r="HR25" s="901"/>
      <c r="HS25" s="901"/>
      <c r="HT25" s="901"/>
      <c r="HU25" s="901"/>
      <c r="HV25" s="901"/>
      <c r="HW25" s="901"/>
      <c r="HX25" s="901"/>
      <c r="HY25" s="901"/>
      <c r="HZ25" s="901"/>
      <c r="IA25" s="901"/>
      <c r="IB25" s="901"/>
      <c r="IC25" s="901"/>
      <c r="ID25" s="901"/>
      <c r="IE25" s="901"/>
      <c r="IF25" s="901"/>
      <c r="IG25" s="901"/>
      <c r="IH25" s="901"/>
      <c r="II25" s="901"/>
      <c r="IJ25" s="901"/>
      <c r="IK25" s="901"/>
      <c r="IL25" s="901"/>
      <c r="IM25" s="901"/>
      <c r="IN25" s="901"/>
      <c r="IO25" s="901"/>
      <c r="IP25" s="901"/>
      <c r="IQ25" s="901"/>
      <c r="IR25" s="901"/>
      <c r="IS25" s="901"/>
      <c r="IT25" s="901"/>
      <c r="IU25" s="901"/>
      <c r="IV25" s="901"/>
      <c r="IW25" s="901"/>
      <c r="IX25" s="901"/>
      <c r="IY25" s="901"/>
      <c r="IZ25" s="901"/>
      <c r="JA25" s="901"/>
      <c r="JB25" s="901"/>
      <c r="JC25" s="901"/>
      <c r="JD25" s="901"/>
      <c r="JE25" s="901"/>
      <c r="JF25" s="901"/>
      <c r="JG25" s="901"/>
      <c r="JH25" s="901"/>
      <c r="JI25" s="901"/>
      <c r="JJ25" s="901"/>
      <c r="JK25" s="901"/>
      <c r="JL25" s="901"/>
      <c r="JM25" s="901"/>
      <c r="JN25" s="901"/>
      <c r="JO25" s="901"/>
      <c r="JP25" s="901"/>
      <c r="JQ25" s="901"/>
      <c r="JR25" s="901"/>
      <c r="JS25" s="901"/>
      <c r="JT25" s="901"/>
      <c r="JU25" s="901"/>
      <c r="JV25" s="901"/>
      <c r="JW25" s="901"/>
      <c r="JX25" s="901"/>
      <c r="JY25" s="901"/>
      <c r="JZ25" s="901"/>
      <c r="KA25" s="901"/>
      <c r="KB25" s="901"/>
      <c r="KC25" s="901"/>
      <c r="KD25" s="901"/>
      <c r="KE25" s="901"/>
      <c r="KF25" s="901"/>
      <c r="KG25" s="901"/>
      <c r="KH25" s="901"/>
      <c r="KI25" s="901"/>
      <c r="KJ25" s="901"/>
      <c r="KK25" s="901"/>
      <c r="KL25" s="901"/>
      <c r="KM25" s="901"/>
      <c r="KN25" s="901"/>
      <c r="KO25" s="901"/>
      <c r="KP25" s="901"/>
      <c r="KQ25" s="901"/>
      <c r="KR25" s="901"/>
      <c r="KS25" s="901"/>
      <c r="KT25" s="901"/>
      <c r="KU25" s="901"/>
      <c r="KV25" s="901"/>
      <c r="KW25" s="901"/>
      <c r="KX25" s="901"/>
      <c r="KY25" s="901"/>
      <c r="KZ25" s="901"/>
      <c r="LA25" s="901"/>
      <c r="LB25" s="901"/>
      <c r="LC25" s="901"/>
      <c r="LD25" s="901"/>
      <c r="LE25" s="901"/>
      <c r="LF25" s="901"/>
      <c r="LG25" s="901"/>
      <c r="LH25" s="901"/>
      <c r="LI25" s="901"/>
      <c r="LJ25" s="901"/>
      <c r="LK25" s="901"/>
      <c r="LL25" s="901"/>
      <c r="LM25" s="901"/>
      <c r="LN25" s="901"/>
      <c r="LO25" s="901"/>
      <c r="LP25" s="901"/>
      <c r="LQ25" s="901"/>
      <c r="LR25" s="901"/>
      <c r="LS25" s="901"/>
      <c r="LT25" s="901"/>
      <c r="LU25" s="901"/>
      <c r="LV25" s="901"/>
      <c r="LW25" s="901"/>
      <c r="LX25" s="901"/>
      <c r="LY25" s="901"/>
      <c r="LZ25" s="901"/>
      <c r="MA25" s="901"/>
      <c r="MB25" s="901"/>
      <c r="MC25" s="901"/>
      <c r="MD25" s="901"/>
      <c r="ME25" s="901"/>
      <c r="MF25" s="901"/>
      <c r="MG25" s="901"/>
      <c r="MH25" s="901"/>
      <c r="MI25" s="901"/>
      <c r="MJ25" s="901"/>
      <c r="MK25" s="901"/>
      <c r="ML25" s="901"/>
      <c r="MM25" s="901"/>
      <c r="MN25" s="901"/>
      <c r="MO25" s="901"/>
      <c r="MP25" s="901"/>
      <c r="MQ25" s="901"/>
      <c r="MR25" s="901"/>
      <c r="MS25" s="901"/>
      <c r="MT25" s="901"/>
      <c r="MU25" s="901"/>
      <c r="MV25" s="901"/>
      <c r="MW25" s="901"/>
      <c r="MX25" s="901"/>
      <c r="MY25" s="901"/>
      <c r="MZ25" s="901"/>
      <c r="NA25" s="901"/>
      <c r="NB25" s="901"/>
      <c r="NC25" s="901"/>
      <c r="ND25" s="901"/>
      <c r="NE25" s="901"/>
      <c r="NF25" s="901"/>
      <c r="NG25" s="901"/>
      <c r="NH25" s="901"/>
      <c r="NI25" s="901"/>
      <c r="NJ25" s="901"/>
      <c r="NK25" s="901"/>
      <c r="NL25" s="901"/>
      <c r="NM25" s="901"/>
      <c r="NN25" s="901"/>
      <c r="NO25" s="901"/>
      <c r="NP25" s="901"/>
      <c r="NQ25" s="901"/>
      <c r="NR25" s="901"/>
      <c r="NS25" s="901"/>
      <c r="NT25" s="901"/>
      <c r="NU25" s="901"/>
      <c r="NV25" s="901"/>
      <c r="NW25" s="901"/>
      <c r="NX25" s="901"/>
      <c r="NY25" s="901"/>
      <c r="NZ25" s="901"/>
      <c r="OA25" s="901"/>
      <c r="OB25" s="901"/>
      <c r="OC25" s="901"/>
      <c r="OD25" s="901"/>
      <c r="OE25" s="901"/>
      <c r="OF25" s="901"/>
      <c r="OG25" s="901"/>
      <c r="OH25" s="901"/>
      <c r="OI25" s="901"/>
      <c r="OJ25" s="901"/>
      <c r="OK25" s="901"/>
      <c r="OL25" s="901"/>
      <c r="OM25" s="901"/>
      <c r="ON25" s="901"/>
      <c r="OO25" s="901"/>
      <c r="OP25" s="901"/>
      <c r="OQ25" s="901"/>
      <c r="OR25" s="901"/>
      <c r="OS25" s="901"/>
      <c r="OT25" s="901"/>
      <c r="OU25" s="901"/>
      <c r="OV25" s="901"/>
      <c r="OW25" s="901"/>
      <c r="OX25" s="901"/>
      <c r="OY25" s="901"/>
      <c r="OZ25" s="901"/>
      <c r="PA25" s="901"/>
      <c r="PB25" s="901"/>
      <c r="PC25" s="901"/>
      <c r="PD25" s="901"/>
      <c r="PE25" s="901"/>
      <c r="PF25" s="901"/>
      <c r="PG25" s="901"/>
      <c r="PH25" s="901"/>
      <c r="PI25" s="901"/>
      <c r="PJ25" s="901"/>
      <c r="PK25" s="901"/>
      <c r="PL25" s="901"/>
      <c r="PM25" s="901"/>
      <c r="PN25" s="901"/>
      <c r="PO25" s="901"/>
      <c r="PP25" s="901"/>
      <c r="PQ25" s="901"/>
      <c r="PR25" s="901"/>
      <c r="PS25" s="901"/>
      <c r="PT25" s="901"/>
      <c r="PU25" s="901"/>
      <c r="PV25" s="901"/>
      <c r="PW25" s="901"/>
      <c r="PX25" s="901"/>
      <c r="PY25" s="901"/>
      <c r="PZ25" s="901"/>
      <c r="QA25" s="901"/>
      <c r="QB25" s="901"/>
      <c r="QC25" s="901"/>
      <c r="QD25" s="901"/>
      <c r="QE25" s="901"/>
      <c r="QF25" s="901"/>
      <c r="QG25" s="901"/>
      <c r="QH25" s="901"/>
      <c r="QI25" s="901"/>
      <c r="QJ25" s="901"/>
      <c r="QK25" s="901"/>
      <c r="QL25" s="901"/>
      <c r="QM25" s="901"/>
      <c r="QN25" s="901"/>
      <c r="QO25" s="901"/>
      <c r="QP25" s="901"/>
      <c r="QQ25" s="901"/>
      <c r="QR25" s="901"/>
      <c r="QS25" s="901"/>
      <c r="QT25" s="901"/>
      <c r="QU25" s="901"/>
      <c r="QV25" s="901"/>
      <c r="QW25" s="901"/>
      <c r="QX25" s="901"/>
      <c r="QY25" s="901"/>
      <c r="QZ25" s="901"/>
      <c r="RA25" s="901"/>
      <c r="RB25" s="901"/>
      <c r="RC25" s="901"/>
      <c r="RD25" s="901"/>
      <c r="RE25" s="901"/>
      <c r="RF25" s="901"/>
      <c r="RG25" s="901"/>
      <c r="RH25" s="901"/>
      <c r="RI25" s="901"/>
      <c r="RJ25" s="901"/>
      <c r="RK25" s="901"/>
      <c r="RL25" s="901"/>
      <c r="RM25" s="901"/>
      <c r="RN25" s="901"/>
      <c r="RO25" s="901"/>
      <c r="RP25" s="901"/>
      <c r="RQ25" s="901"/>
      <c r="RR25" s="901"/>
      <c r="RS25" s="901"/>
      <c r="RT25" s="901"/>
      <c r="RU25" s="901"/>
      <c r="RV25" s="901"/>
      <c r="RW25" s="901"/>
      <c r="RX25" s="901"/>
      <c r="RY25" s="901"/>
      <c r="RZ25" s="901"/>
      <c r="SA25" s="901"/>
      <c r="SB25" s="901"/>
      <c r="SC25" s="901"/>
      <c r="SD25" s="901"/>
      <c r="SE25" s="901"/>
      <c r="SF25" s="901"/>
      <c r="SG25" s="901"/>
      <c r="SH25" s="901"/>
      <c r="SI25" s="901"/>
      <c r="SJ25" s="901"/>
      <c r="SK25" s="901"/>
      <c r="SL25" s="901"/>
      <c r="SM25" s="901"/>
      <c r="SN25" s="901"/>
      <c r="SO25" s="901"/>
      <c r="SP25" s="901"/>
      <c r="SQ25" s="901"/>
      <c r="SR25" s="901"/>
      <c r="SS25" s="901"/>
      <c r="ST25" s="901"/>
      <c r="SU25" s="901"/>
      <c r="SV25" s="901"/>
      <c r="SW25" s="901"/>
      <c r="SX25" s="901"/>
      <c r="SY25" s="901"/>
      <c r="SZ25" s="901"/>
      <c r="TA25" s="901"/>
      <c r="TB25" s="901"/>
      <c r="TC25" s="901"/>
      <c r="TD25" s="901"/>
      <c r="TE25" s="901"/>
      <c r="TF25" s="901"/>
      <c r="TG25" s="901"/>
      <c r="TH25" s="901"/>
      <c r="TI25" s="901"/>
      <c r="TJ25" s="901"/>
      <c r="TK25" s="901"/>
      <c r="TL25" s="901"/>
      <c r="TM25" s="901"/>
      <c r="TN25" s="901"/>
      <c r="TO25" s="901"/>
      <c r="TP25" s="901"/>
      <c r="TQ25" s="901"/>
      <c r="TR25" s="901"/>
      <c r="TS25" s="901"/>
      <c r="TT25" s="901"/>
      <c r="TU25" s="901"/>
      <c r="TV25" s="901"/>
      <c r="TW25" s="901"/>
      <c r="TX25" s="901"/>
      <c r="TY25" s="901"/>
      <c r="TZ25" s="901"/>
      <c r="UA25" s="901"/>
      <c r="UB25" s="901"/>
      <c r="UC25" s="901"/>
      <c r="UD25" s="901"/>
      <c r="UE25" s="901"/>
      <c r="UF25" s="901"/>
      <c r="UG25" s="901"/>
      <c r="UH25" s="901"/>
      <c r="UI25" s="901"/>
      <c r="UJ25" s="901"/>
      <c r="UK25" s="901"/>
      <c r="UL25" s="901"/>
      <c r="UM25" s="901"/>
      <c r="UN25" s="901"/>
      <c r="UO25" s="901"/>
      <c r="UP25" s="901"/>
      <c r="UQ25" s="901"/>
      <c r="UR25" s="901"/>
      <c r="US25" s="901"/>
      <c r="UT25" s="901"/>
      <c r="UU25" s="901"/>
      <c r="UV25" s="901"/>
      <c r="UW25" s="901"/>
      <c r="UX25" s="901"/>
      <c r="UY25" s="901"/>
      <c r="UZ25" s="901"/>
      <c r="VA25" s="901"/>
      <c r="VB25" s="901"/>
      <c r="VC25" s="901"/>
      <c r="VD25" s="901"/>
      <c r="VE25" s="901"/>
      <c r="VF25" s="901"/>
      <c r="VG25" s="901"/>
      <c r="VH25" s="901"/>
      <c r="VI25" s="901"/>
      <c r="VJ25" s="901"/>
      <c r="VK25" s="901"/>
      <c r="VL25" s="901"/>
      <c r="VM25" s="901"/>
      <c r="VN25" s="901"/>
      <c r="VO25" s="901"/>
      <c r="VP25" s="901"/>
      <c r="VQ25" s="901"/>
      <c r="VR25" s="901"/>
      <c r="VS25" s="901"/>
      <c r="VT25" s="901"/>
      <c r="VU25" s="901"/>
      <c r="VV25" s="901"/>
      <c r="VW25" s="901"/>
      <c r="VX25" s="901"/>
      <c r="VY25" s="901"/>
      <c r="VZ25" s="901"/>
      <c r="WA25" s="901"/>
      <c r="WB25" s="901"/>
      <c r="WC25" s="901"/>
      <c r="WD25" s="901"/>
      <c r="WE25" s="901"/>
      <c r="WF25" s="901"/>
      <c r="WG25" s="901"/>
      <c r="WH25" s="901"/>
      <c r="WI25" s="901"/>
      <c r="WJ25" s="901"/>
      <c r="WK25" s="901"/>
      <c r="WL25" s="901"/>
      <c r="WM25" s="901"/>
      <c r="WN25" s="901"/>
      <c r="WO25" s="901"/>
      <c r="WP25" s="901"/>
      <c r="WQ25" s="901"/>
      <c r="WR25" s="901"/>
      <c r="WS25" s="901"/>
      <c r="WT25" s="901"/>
      <c r="WU25" s="901"/>
      <c r="WV25" s="901"/>
      <c r="WW25" s="901"/>
      <c r="WX25" s="901"/>
      <c r="WY25" s="901"/>
      <c r="WZ25" s="901"/>
      <c r="XA25" s="901"/>
      <c r="XB25" s="901"/>
      <c r="XC25" s="901"/>
      <c r="XD25" s="901"/>
      <c r="XE25" s="901"/>
      <c r="XF25" s="901"/>
      <c r="XG25" s="901"/>
      <c r="XH25" s="901"/>
      <c r="XI25" s="901"/>
      <c r="XJ25" s="901"/>
      <c r="XK25" s="901"/>
      <c r="XL25" s="901"/>
      <c r="XM25" s="901"/>
      <c r="XN25" s="901"/>
      <c r="XO25" s="901"/>
      <c r="XP25" s="901"/>
      <c r="XQ25" s="901"/>
      <c r="XR25" s="901"/>
      <c r="XS25" s="901"/>
      <c r="XT25" s="901"/>
      <c r="XU25" s="901"/>
      <c r="XV25" s="901"/>
      <c r="XW25" s="901"/>
      <c r="XX25" s="901"/>
      <c r="XY25" s="901"/>
      <c r="XZ25" s="901"/>
      <c r="YA25" s="901"/>
      <c r="YB25" s="901"/>
      <c r="YC25" s="901"/>
      <c r="YD25" s="901"/>
      <c r="YE25" s="901"/>
      <c r="YF25" s="901"/>
      <c r="YG25" s="901"/>
      <c r="YH25" s="901"/>
      <c r="YI25" s="901"/>
      <c r="YJ25" s="901"/>
      <c r="YK25" s="901"/>
      <c r="YL25" s="901"/>
      <c r="YM25" s="901"/>
      <c r="YN25" s="901"/>
      <c r="YO25" s="901"/>
      <c r="YP25" s="901"/>
      <c r="YQ25" s="901"/>
      <c r="YR25" s="901"/>
      <c r="YS25" s="901"/>
      <c r="YT25" s="901"/>
      <c r="YU25" s="901"/>
      <c r="YV25" s="901"/>
      <c r="YW25" s="901"/>
      <c r="YX25" s="901"/>
      <c r="YY25" s="901"/>
      <c r="YZ25" s="901"/>
      <c r="ZA25" s="901"/>
      <c r="ZB25" s="901"/>
      <c r="ZC25" s="901"/>
      <c r="ZD25" s="901"/>
      <c r="ZE25" s="901"/>
      <c r="ZF25" s="901"/>
      <c r="ZG25" s="901"/>
      <c r="ZH25" s="901"/>
      <c r="ZI25" s="901"/>
      <c r="ZJ25" s="901"/>
      <c r="ZK25" s="901"/>
      <c r="ZL25" s="901"/>
      <c r="ZM25" s="901"/>
      <c r="ZN25" s="901"/>
      <c r="ZO25" s="901"/>
      <c r="ZP25" s="901"/>
      <c r="ZQ25" s="901"/>
      <c r="ZR25" s="901"/>
      <c r="ZS25" s="901"/>
      <c r="ZT25" s="901"/>
      <c r="ZU25" s="901"/>
      <c r="ZV25" s="901"/>
      <c r="ZW25" s="901"/>
      <c r="ZX25" s="901"/>
      <c r="ZY25" s="901"/>
      <c r="ZZ25" s="901"/>
      <c r="AAA25" s="901"/>
      <c r="AAB25" s="901"/>
      <c r="AAC25" s="901"/>
      <c r="AAD25" s="901"/>
      <c r="AAE25" s="901"/>
      <c r="AAF25" s="901"/>
      <c r="AAG25" s="901"/>
      <c r="AAH25" s="901"/>
      <c r="AAI25" s="901"/>
      <c r="AAJ25" s="901"/>
      <c r="AAK25" s="901"/>
      <c r="AAL25" s="901"/>
      <c r="AAM25" s="901"/>
      <c r="AAN25" s="901"/>
      <c r="AAO25" s="901"/>
      <c r="AAP25" s="901"/>
      <c r="AAQ25" s="901"/>
      <c r="AAR25" s="901"/>
      <c r="AAS25" s="901"/>
      <c r="AAT25" s="901"/>
      <c r="AAU25" s="901"/>
      <c r="AAV25" s="901"/>
      <c r="AAW25" s="901"/>
      <c r="AAX25" s="901"/>
      <c r="AAY25" s="901"/>
      <c r="AAZ25" s="901"/>
      <c r="ABA25" s="901"/>
      <c r="ABB25" s="901"/>
      <c r="ABC25" s="901"/>
      <c r="ABD25" s="901"/>
      <c r="ABE25" s="901"/>
      <c r="ABF25" s="901"/>
      <c r="ABG25" s="901"/>
      <c r="ABH25" s="901"/>
      <c r="ABI25" s="901"/>
      <c r="ABJ25" s="901"/>
      <c r="ABK25" s="901"/>
      <c r="ABL25" s="901"/>
      <c r="ABM25" s="901"/>
      <c r="ABN25" s="901"/>
      <c r="ABO25" s="901"/>
      <c r="ABP25" s="901"/>
      <c r="ABQ25" s="901"/>
      <c r="ABR25" s="901"/>
      <c r="ABS25" s="901"/>
      <c r="ABT25" s="901"/>
      <c r="ABU25" s="901"/>
      <c r="ABV25" s="901"/>
      <c r="ABW25" s="901"/>
      <c r="ABX25" s="901"/>
      <c r="ABY25" s="901"/>
      <c r="ABZ25" s="901"/>
      <c r="ACA25" s="901"/>
      <c r="ACB25" s="901"/>
      <c r="ACC25" s="901"/>
      <c r="ACD25" s="901"/>
      <c r="ACE25" s="901"/>
      <c r="ACF25" s="901"/>
      <c r="ACG25" s="901"/>
      <c r="ACH25" s="901"/>
      <c r="ACI25" s="901"/>
      <c r="ACJ25" s="901"/>
      <c r="ACK25" s="901"/>
      <c r="ACL25" s="901"/>
      <c r="ACM25" s="901"/>
      <c r="ACN25" s="901"/>
      <c r="ACO25" s="901"/>
      <c r="ACP25" s="901"/>
      <c r="ACQ25" s="901"/>
      <c r="ACR25" s="901"/>
      <c r="ACS25" s="901"/>
      <c r="ACT25" s="901"/>
      <c r="ACU25" s="901"/>
      <c r="ACV25" s="901"/>
      <c r="ACW25" s="901"/>
      <c r="ACX25" s="901"/>
      <c r="ACY25" s="901"/>
      <c r="ACZ25" s="901"/>
      <c r="ADA25" s="901"/>
      <c r="ADB25" s="901"/>
      <c r="ADC25" s="901"/>
      <c r="ADD25" s="901"/>
      <c r="ADE25" s="901"/>
      <c r="ADF25" s="901"/>
      <c r="ADG25" s="901"/>
      <c r="ADH25" s="901"/>
      <c r="ADI25" s="901"/>
      <c r="ADJ25" s="901"/>
      <c r="ADK25" s="901"/>
      <c r="ADL25" s="901"/>
      <c r="ADM25" s="901"/>
      <c r="ADN25" s="901"/>
      <c r="ADO25" s="901"/>
      <c r="ADP25" s="901"/>
      <c r="ADQ25" s="901"/>
      <c r="ADR25" s="901"/>
      <c r="ADS25" s="901"/>
      <c r="ADT25" s="901"/>
      <c r="ADU25" s="901"/>
      <c r="ADV25" s="901"/>
      <c r="ADW25" s="901"/>
      <c r="ADX25" s="901"/>
      <c r="ADY25" s="901"/>
      <c r="ADZ25" s="901"/>
      <c r="AEA25" s="901"/>
      <c r="AEB25" s="901"/>
      <c r="AEC25" s="901"/>
      <c r="AED25" s="901"/>
      <c r="AEE25" s="901"/>
      <c r="AEF25" s="901"/>
      <c r="AEG25" s="901"/>
      <c r="AEH25" s="901"/>
      <c r="AEI25" s="901"/>
      <c r="AEJ25" s="901"/>
      <c r="AEK25" s="901"/>
      <c r="AEL25" s="901"/>
      <c r="AEM25" s="901"/>
      <c r="AEN25" s="901"/>
      <c r="AEO25" s="901"/>
      <c r="AEP25" s="901"/>
      <c r="AEQ25" s="901"/>
      <c r="AER25" s="901"/>
      <c r="AES25" s="901"/>
      <c r="AET25" s="901"/>
      <c r="AEU25" s="901"/>
      <c r="AEV25" s="901"/>
      <c r="AEW25" s="901"/>
      <c r="AEX25" s="901"/>
      <c r="AEY25" s="901"/>
      <c r="AEZ25" s="901"/>
      <c r="AFA25" s="901"/>
      <c r="AFB25" s="901"/>
      <c r="AFC25" s="901"/>
      <c r="AFD25" s="901"/>
      <c r="AFE25" s="901"/>
      <c r="AFF25" s="901"/>
      <c r="AFG25" s="901"/>
      <c r="AFH25" s="901"/>
      <c r="AFI25" s="901"/>
      <c r="AFJ25" s="901"/>
      <c r="AFK25" s="901"/>
      <c r="AFL25" s="901"/>
      <c r="AFM25" s="901"/>
      <c r="AFN25" s="901"/>
      <c r="AFO25" s="901"/>
      <c r="AFP25" s="901"/>
      <c r="AFQ25" s="901"/>
      <c r="AFR25" s="901"/>
      <c r="AFS25" s="901"/>
      <c r="AFT25" s="901"/>
      <c r="AFU25" s="901"/>
      <c r="AFV25" s="901"/>
      <c r="AFW25" s="901"/>
      <c r="AFX25" s="901"/>
      <c r="AFY25" s="901"/>
      <c r="AFZ25" s="901"/>
      <c r="AGA25" s="901"/>
      <c r="AGB25" s="901"/>
      <c r="AGC25" s="901"/>
      <c r="AGD25" s="901"/>
      <c r="AGE25" s="901"/>
      <c r="AGF25" s="901"/>
      <c r="AGG25" s="901"/>
      <c r="AGH25" s="901"/>
      <c r="AGI25" s="901"/>
      <c r="AGJ25" s="901"/>
      <c r="AGK25" s="901"/>
      <c r="AGL25" s="901"/>
      <c r="AGM25" s="901"/>
      <c r="AGN25" s="901"/>
      <c r="AGO25" s="901"/>
      <c r="AGP25" s="901"/>
      <c r="AGQ25" s="901"/>
      <c r="AGR25" s="901"/>
      <c r="AGS25" s="901"/>
      <c r="AGT25" s="901"/>
      <c r="AGU25" s="901"/>
      <c r="AGV25" s="901"/>
      <c r="AGW25" s="901"/>
      <c r="AGX25" s="901"/>
      <c r="AGY25" s="901"/>
      <c r="AGZ25" s="901"/>
      <c r="AHA25" s="901"/>
      <c r="AHB25" s="901"/>
      <c r="AHC25" s="901"/>
      <c r="AHD25" s="901"/>
      <c r="AHE25" s="901"/>
      <c r="AHF25" s="901"/>
      <c r="AHG25" s="901"/>
      <c r="AHH25" s="901"/>
      <c r="AHI25" s="901"/>
      <c r="AHJ25" s="901"/>
      <c r="AHK25" s="901"/>
      <c r="AHL25" s="901"/>
      <c r="AHM25" s="901"/>
      <c r="AHN25" s="901"/>
      <c r="AHO25" s="901"/>
      <c r="AHP25" s="901"/>
      <c r="AHQ25" s="901"/>
      <c r="AHR25" s="901"/>
      <c r="AHS25" s="901"/>
      <c r="AHT25" s="901"/>
      <c r="AHU25" s="901"/>
      <c r="AHV25" s="901"/>
      <c r="AHW25" s="901"/>
      <c r="AHX25" s="901"/>
      <c r="AHY25" s="901"/>
      <c r="AHZ25" s="901"/>
      <c r="AIA25" s="901"/>
      <c r="AIB25" s="901"/>
      <c r="AIC25" s="901"/>
      <c r="AID25" s="901"/>
      <c r="AIE25" s="901"/>
      <c r="AIF25" s="901"/>
      <c r="AIG25" s="901"/>
      <c r="AIH25" s="901"/>
      <c r="AII25" s="901"/>
      <c r="AIJ25" s="901"/>
      <c r="AIK25" s="901"/>
      <c r="AIL25" s="901"/>
      <c r="AIM25" s="901"/>
      <c r="AIN25" s="901"/>
      <c r="AIO25" s="901"/>
      <c r="AIP25" s="901"/>
      <c r="AIQ25" s="901"/>
      <c r="AIR25" s="901"/>
      <c r="AIS25" s="901"/>
      <c r="AIT25" s="901"/>
      <c r="AIU25" s="901"/>
      <c r="AIV25" s="901"/>
      <c r="AIW25" s="901"/>
      <c r="AIX25" s="901"/>
      <c r="AIY25" s="901"/>
      <c r="AIZ25" s="901"/>
      <c r="AJA25" s="901"/>
      <c r="AJB25" s="901"/>
      <c r="AJC25" s="901"/>
      <c r="AJD25" s="901"/>
      <c r="AJE25" s="901"/>
      <c r="AJF25" s="901"/>
      <c r="AJG25" s="901"/>
      <c r="AJH25" s="901"/>
      <c r="AJI25" s="901"/>
      <c r="AJJ25" s="901"/>
      <c r="AJK25" s="901"/>
      <c r="AJL25" s="901"/>
      <c r="AJM25" s="901"/>
      <c r="AJN25" s="901"/>
      <c r="AJO25" s="901"/>
      <c r="AJP25" s="901"/>
      <c r="AJQ25" s="901"/>
      <c r="AJR25" s="901"/>
      <c r="AJS25" s="901"/>
      <c r="AJT25" s="901"/>
      <c r="AJU25" s="901"/>
      <c r="AJV25" s="901"/>
      <c r="AJW25" s="901"/>
      <c r="AJX25" s="901"/>
      <c r="AJY25" s="901"/>
      <c r="AJZ25" s="901"/>
      <c r="AKA25" s="901"/>
      <c r="AKB25" s="901"/>
      <c r="AKC25" s="901"/>
      <c r="AKD25" s="901"/>
      <c r="AKE25" s="901"/>
      <c r="AKF25" s="901"/>
      <c r="AKG25" s="901"/>
      <c r="AKH25" s="901"/>
      <c r="AKI25" s="901"/>
      <c r="AKJ25" s="901"/>
      <c r="AKK25" s="901"/>
      <c r="AKL25" s="901"/>
      <c r="AKM25" s="901"/>
      <c r="AKN25" s="901"/>
      <c r="AKO25" s="901"/>
      <c r="AKP25" s="901"/>
      <c r="AKQ25" s="901"/>
      <c r="AKR25" s="901"/>
      <c r="AKS25" s="901"/>
      <c r="AKT25" s="901"/>
      <c r="AKU25" s="901"/>
      <c r="AKV25" s="901"/>
      <c r="AKW25" s="901"/>
      <c r="AKX25" s="901"/>
      <c r="AKY25" s="901"/>
      <c r="AKZ25" s="901"/>
      <c r="ALA25" s="901"/>
      <c r="ALB25" s="901"/>
      <c r="ALC25" s="901"/>
      <c r="ALD25" s="901"/>
      <c r="ALE25" s="901"/>
      <c r="ALF25" s="901"/>
      <c r="ALG25" s="901"/>
      <c r="ALH25" s="901"/>
      <c r="ALI25" s="901"/>
      <c r="ALJ25" s="901"/>
      <c r="ALK25" s="901"/>
      <c r="ALL25" s="901"/>
      <c r="ALM25" s="901"/>
      <c r="ALN25" s="901"/>
      <c r="ALO25" s="901"/>
      <c r="ALP25" s="901"/>
      <c r="ALQ25" s="901"/>
      <c r="ALR25" s="901"/>
      <c r="ALS25" s="901"/>
      <c r="ALT25" s="901"/>
      <c r="ALU25" s="901"/>
      <c r="ALV25" s="901"/>
      <c r="ALW25" s="901"/>
      <c r="ALX25" s="901"/>
      <c r="ALY25" s="901"/>
      <c r="ALZ25" s="901"/>
      <c r="AMA25" s="901"/>
      <c r="AMB25" s="901"/>
      <c r="AMC25" s="901"/>
      <c r="AMD25" s="901"/>
      <c r="AME25" s="901"/>
      <c r="AMF25" s="901"/>
      <c r="AMG25" s="901"/>
      <c r="AMH25" s="901"/>
      <c r="AMI25" s="901"/>
      <c r="AMJ25" s="901"/>
      <c r="AMK25" s="901"/>
      <c r="AML25" s="901"/>
    </row>
    <row r="26" spans="1:1026" s="902" customFormat="1" ht="25.5">
      <c r="A26" s="882">
        <v>3</v>
      </c>
      <c r="B26" s="883" t="s">
        <v>16</v>
      </c>
      <c r="C26" s="883">
        <v>6</v>
      </c>
      <c r="D26" s="883" t="s">
        <v>16</v>
      </c>
      <c r="E26" s="884" t="s">
        <v>81</v>
      </c>
      <c r="F26" s="883" t="s">
        <v>16</v>
      </c>
      <c r="G26" s="885" t="s">
        <v>86</v>
      </c>
      <c r="H26" s="908" t="s">
        <v>101</v>
      </c>
      <c r="I26" s="926"/>
      <c r="J26" s="927"/>
      <c r="K26" s="926">
        <f>ROUNDDOWN(9.2*581+9.5*537,0)</f>
        <v>10446</v>
      </c>
      <c r="L26" s="927">
        <v>5713.2</v>
      </c>
      <c r="M26" s="926">
        <f>ROUNDDOWN(9.2*581+9.5*537,0)</f>
        <v>10446</v>
      </c>
      <c r="N26" s="927">
        <v>11099.7</v>
      </c>
      <c r="O26" s="952">
        <f>ROUNDDOWN(9.5*581+9.5*537,0)</f>
        <v>10621</v>
      </c>
      <c r="P26" s="953">
        <v>0</v>
      </c>
      <c r="Q26" s="952">
        <v>10649</v>
      </c>
      <c r="R26" s="953">
        <v>5263</v>
      </c>
      <c r="S26" s="931">
        <f>ROUNDDOWN(9.5*567+9.5*554,0)</f>
        <v>10649</v>
      </c>
      <c r="T26" s="931">
        <f>ROUNDDOWN(9.5*567+9.5*554,0)</f>
        <v>10649</v>
      </c>
      <c r="U26" s="931"/>
      <c r="V26" s="931">
        <f>ROUNDDOWN(9.5*567+9.5*554,0)</f>
        <v>10649</v>
      </c>
      <c r="W26" s="932">
        <v>6339.6</v>
      </c>
      <c r="X26" s="933">
        <f>ROUNDDOWN(9.5*567+9.5*554,0)</f>
        <v>10649</v>
      </c>
      <c r="Y26" s="934"/>
      <c r="Z26" s="935">
        <v>10649</v>
      </c>
      <c r="AA26" s="936">
        <v>11199.6</v>
      </c>
      <c r="AB26" s="935">
        <f>10649/9.5*12.5</f>
        <v>14011.842105263158</v>
      </c>
      <c r="AC26" s="936">
        <v>11199.6</v>
      </c>
      <c r="AD26" s="935">
        <f>10649/9.5*12.5</f>
        <v>14011.842105263158</v>
      </c>
      <c r="AE26" s="936">
        <v>13912.5</v>
      </c>
      <c r="AF26" s="935">
        <f>10649/9.5*15.5</f>
        <v>17374.684210526317</v>
      </c>
      <c r="AG26" s="937"/>
      <c r="AH26" s="935">
        <f>10649/9.5*15.5</f>
        <v>17374.684210526317</v>
      </c>
      <c r="AI26" s="949">
        <f>523*15.5+587*15.5</f>
        <v>17205</v>
      </c>
      <c r="AJ26" s="1052">
        <f>(523+587)*(18.6-2.5)</f>
        <v>17871</v>
      </c>
      <c r="AK26" s="1050" t="s">
        <v>526</v>
      </c>
      <c r="AL26" s="899"/>
      <c r="AM26" s="900"/>
      <c r="AN26" s="900"/>
      <c r="AO26" s="901"/>
      <c r="AP26" s="901"/>
      <c r="AQ26" s="901"/>
      <c r="AR26" s="901"/>
      <c r="AS26" s="901"/>
      <c r="AT26" s="901"/>
      <c r="AU26" s="901"/>
      <c r="AV26" s="901"/>
      <c r="AW26" s="901"/>
      <c r="AX26" s="901"/>
      <c r="AY26" s="901"/>
      <c r="AZ26" s="901"/>
      <c r="BA26" s="901"/>
      <c r="BB26" s="901"/>
      <c r="BC26" s="901"/>
      <c r="BD26" s="901"/>
      <c r="BE26" s="901"/>
      <c r="BF26" s="901"/>
      <c r="BG26" s="901"/>
      <c r="BH26" s="901"/>
      <c r="BI26" s="901"/>
      <c r="BJ26" s="901"/>
      <c r="BK26" s="901"/>
      <c r="BL26" s="901"/>
      <c r="BM26" s="901"/>
      <c r="BN26" s="901"/>
      <c r="BO26" s="901"/>
      <c r="BP26" s="901"/>
      <c r="BQ26" s="901"/>
      <c r="BR26" s="901"/>
      <c r="BS26" s="901"/>
      <c r="BT26" s="901"/>
      <c r="BU26" s="901"/>
      <c r="BV26" s="901"/>
      <c r="BW26" s="901"/>
      <c r="BX26" s="901"/>
      <c r="BY26" s="901"/>
      <c r="BZ26" s="901"/>
      <c r="CA26" s="901"/>
      <c r="CB26" s="901"/>
      <c r="CC26" s="901"/>
      <c r="CD26" s="901"/>
      <c r="CE26" s="901"/>
      <c r="CF26" s="901"/>
      <c r="CG26" s="901"/>
      <c r="CH26" s="901"/>
      <c r="CI26" s="901"/>
      <c r="CJ26" s="901"/>
      <c r="CK26" s="901"/>
      <c r="CL26" s="901"/>
      <c r="CM26" s="901"/>
      <c r="CN26" s="901"/>
      <c r="CO26" s="901"/>
      <c r="CP26" s="901"/>
      <c r="CQ26" s="901"/>
      <c r="CR26" s="901"/>
      <c r="CS26" s="901"/>
      <c r="CT26" s="901"/>
      <c r="CU26" s="901"/>
      <c r="CV26" s="901"/>
      <c r="CW26" s="901"/>
      <c r="CX26" s="901"/>
      <c r="CY26" s="901"/>
      <c r="CZ26" s="901"/>
      <c r="DA26" s="901"/>
      <c r="DB26" s="901"/>
      <c r="DC26" s="901"/>
      <c r="DD26" s="901"/>
      <c r="DE26" s="901"/>
      <c r="DF26" s="901"/>
      <c r="DG26" s="901"/>
      <c r="DH26" s="901"/>
      <c r="DI26" s="901"/>
      <c r="DJ26" s="901"/>
      <c r="DK26" s="901"/>
      <c r="DL26" s="901"/>
      <c r="DM26" s="901"/>
      <c r="DN26" s="901"/>
      <c r="DO26" s="901"/>
      <c r="DP26" s="901"/>
      <c r="DQ26" s="901"/>
      <c r="DR26" s="901"/>
      <c r="DS26" s="901"/>
      <c r="DT26" s="901"/>
      <c r="DU26" s="901"/>
      <c r="DV26" s="901"/>
      <c r="DW26" s="901"/>
      <c r="DX26" s="901"/>
      <c r="DY26" s="901"/>
      <c r="DZ26" s="901"/>
      <c r="EA26" s="901"/>
      <c r="EB26" s="901"/>
      <c r="EC26" s="901"/>
      <c r="ED26" s="901"/>
      <c r="EE26" s="901"/>
      <c r="EF26" s="901"/>
      <c r="EG26" s="901"/>
      <c r="EH26" s="901"/>
      <c r="EI26" s="901"/>
      <c r="EJ26" s="901"/>
      <c r="EK26" s="901"/>
      <c r="EL26" s="901"/>
      <c r="EM26" s="901"/>
      <c r="EN26" s="901"/>
      <c r="EO26" s="901"/>
      <c r="EP26" s="901"/>
      <c r="EQ26" s="901"/>
      <c r="ER26" s="901"/>
      <c r="ES26" s="901"/>
      <c r="ET26" s="901"/>
      <c r="EU26" s="901"/>
      <c r="EV26" s="901"/>
      <c r="EW26" s="901"/>
      <c r="EX26" s="901"/>
      <c r="EY26" s="901"/>
      <c r="EZ26" s="901"/>
      <c r="FA26" s="901"/>
      <c r="FB26" s="901"/>
      <c r="FC26" s="901"/>
      <c r="FD26" s="901"/>
      <c r="FE26" s="901"/>
      <c r="FF26" s="901"/>
      <c r="FG26" s="901"/>
      <c r="FH26" s="901"/>
      <c r="FI26" s="901"/>
      <c r="FJ26" s="901"/>
      <c r="FK26" s="901"/>
      <c r="FL26" s="901"/>
      <c r="FM26" s="901"/>
      <c r="FN26" s="901"/>
      <c r="FO26" s="901"/>
      <c r="FP26" s="901"/>
      <c r="FQ26" s="901"/>
      <c r="FR26" s="901"/>
      <c r="FS26" s="901"/>
      <c r="FT26" s="901"/>
      <c r="FU26" s="901"/>
      <c r="FV26" s="901"/>
      <c r="FW26" s="901"/>
      <c r="FX26" s="901"/>
      <c r="FY26" s="901"/>
      <c r="FZ26" s="901"/>
      <c r="GA26" s="901"/>
      <c r="GB26" s="901"/>
      <c r="GC26" s="901"/>
      <c r="GD26" s="901"/>
      <c r="GE26" s="901"/>
      <c r="GF26" s="901"/>
      <c r="GG26" s="901"/>
      <c r="GH26" s="901"/>
      <c r="GI26" s="901"/>
      <c r="GJ26" s="901"/>
      <c r="GK26" s="901"/>
      <c r="GL26" s="901"/>
      <c r="GM26" s="901"/>
      <c r="GN26" s="901"/>
      <c r="GO26" s="901"/>
      <c r="GP26" s="901"/>
      <c r="GQ26" s="901"/>
      <c r="GR26" s="901"/>
      <c r="GS26" s="901"/>
      <c r="GT26" s="901"/>
      <c r="GU26" s="901"/>
      <c r="GV26" s="901"/>
      <c r="GW26" s="901"/>
      <c r="GX26" s="901"/>
      <c r="GY26" s="901"/>
      <c r="GZ26" s="901"/>
      <c r="HA26" s="901"/>
      <c r="HB26" s="901"/>
      <c r="HC26" s="901"/>
      <c r="HD26" s="901"/>
      <c r="HE26" s="901"/>
      <c r="HF26" s="901"/>
      <c r="HG26" s="901"/>
      <c r="HH26" s="901"/>
      <c r="HI26" s="901"/>
      <c r="HJ26" s="901"/>
      <c r="HK26" s="901"/>
      <c r="HL26" s="901"/>
      <c r="HM26" s="901"/>
      <c r="HN26" s="901"/>
      <c r="HO26" s="901"/>
      <c r="HP26" s="901"/>
      <c r="HQ26" s="901"/>
      <c r="HR26" s="901"/>
      <c r="HS26" s="901"/>
      <c r="HT26" s="901"/>
      <c r="HU26" s="901"/>
      <c r="HV26" s="901"/>
      <c r="HW26" s="901"/>
      <c r="HX26" s="901"/>
      <c r="HY26" s="901"/>
      <c r="HZ26" s="901"/>
      <c r="IA26" s="901"/>
      <c r="IB26" s="901"/>
      <c r="IC26" s="901"/>
      <c r="ID26" s="901"/>
      <c r="IE26" s="901"/>
      <c r="IF26" s="901"/>
      <c r="IG26" s="901"/>
      <c r="IH26" s="901"/>
      <c r="II26" s="901"/>
      <c r="IJ26" s="901"/>
      <c r="IK26" s="901"/>
      <c r="IL26" s="901"/>
      <c r="IM26" s="901"/>
      <c r="IN26" s="901"/>
      <c r="IO26" s="901"/>
      <c r="IP26" s="901"/>
      <c r="IQ26" s="901"/>
      <c r="IR26" s="901"/>
      <c r="IS26" s="901"/>
      <c r="IT26" s="901"/>
      <c r="IU26" s="901"/>
      <c r="IV26" s="901"/>
      <c r="IW26" s="901"/>
      <c r="IX26" s="901"/>
      <c r="IY26" s="901"/>
      <c r="IZ26" s="901"/>
      <c r="JA26" s="901"/>
      <c r="JB26" s="901"/>
      <c r="JC26" s="901"/>
      <c r="JD26" s="901"/>
      <c r="JE26" s="901"/>
      <c r="JF26" s="901"/>
      <c r="JG26" s="901"/>
      <c r="JH26" s="901"/>
      <c r="JI26" s="901"/>
      <c r="JJ26" s="901"/>
      <c r="JK26" s="901"/>
      <c r="JL26" s="901"/>
      <c r="JM26" s="901"/>
      <c r="JN26" s="901"/>
      <c r="JO26" s="901"/>
      <c r="JP26" s="901"/>
      <c r="JQ26" s="901"/>
      <c r="JR26" s="901"/>
      <c r="JS26" s="901"/>
      <c r="JT26" s="901"/>
      <c r="JU26" s="901"/>
      <c r="JV26" s="901"/>
      <c r="JW26" s="901"/>
      <c r="JX26" s="901"/>
      <c r="JY26" s="901"/>
      <c r="JZ26" s="901"/>
      <c r="KA26" s="901"/>
      <c r="KB26" s="901"/>
      <c r="KC26" s="901"/>
      <c r="KD26" s="901"/>
      <c r="KE26" s="901"/>
      <c r="KF26" s="901"/>
      <c r="KG26" s="901"/>
      <c r="KH26" s="901"/>
      <c r="KI26" s="901"/>
      <c r="KJ26" s="901"/>
      <c r="KK26" s="901"/>
      <c r="KL26" s="901"/>
      <c r="KM26" s="901"/>
      <c r="KN26" s="901"/>
      <c r="KO26" s="901"/>
      <c r="KP26" s="901"/>
      <c r="KQ26" s="901"/>
      <c r="KR26" s="901"/>
      <c r="KS26" s="901"/>
      <c r="KT26" s="901"/>
      <c r="KU26" s="901"/>
      <c r="KV26" s="901"/>
      <c r="KW26" s="901"/>
      <c r="KX26" s="901"/>
      <c r="KY26" s="901"/>
      <c r="KZ26" s="901"/>
      <c r="LA26" s="901"/>
      <c r="LB26" s="901"/>
      <c r="LC26" s="901"/>
      <c r="LD26" s="901"/>
      <c r="LE26" s="901"/>
      <c r="LF26" s="901"/>
      <c r="LG26" s="901"/>
      <c r="LH26" s="901"/>
      <c r="LI26" s="901"/>
      <c r="LJ26" s="901"/>
      <c r="LK26" s="901"/>
      <c r="LL26" s="901"/>
      <c r="LM26" s="901"/>
      <c r="LN26" s="901"/>
      <c r="LO26" s="901"/>
      <c r="LP26" s="901"/>
      <c r="LQ26" s="901"/>
      <c r="LR26" s="901"/>
      <c r="LS26" s="901"/>
      <c r="LT26" s="901"/>
      <c r="LU26" s="901"/>
      <c r="LV26" s="901"/>
      <c r="LW26" s="901"/>
      <c r="LX26" s="901"/>
      <c r="LY26" s="901"/>
      <c r="LZ26" s="901"/>
      <c r="MA26" s="901"/>
      <c r="MB26" s="901"/>
      <c r="MC26" s="901"/>
      <c r="MD26" s="901"/>
      <c r="ME26" s="901"/>
      <c r="MF26" s="901"/>
      <c r="MG26" s="901"/>
      <c r="MH26" s="901"/>
      <c r="MI26" s="901"/>
      <c r="MJ26" s="901"/>
      <c r="MK26" s="901"/>
      <c r="ML26" s="901"/>
      <c r="MM26" s="901"/>
      <c r="MN26" s="901"/>
      <c r="MO26" s="901"/>
      <c r="MP26" s="901"/>
      <c r="MQ26" s="901"/>
      <c r="MR26" s="901"/>
      <c r="MS26" s="901"/>
      <c r="MT26" s="901"/>
      <c r="MU26" s="901"/>
      <c r="MV26" s="901"/>
      <c r="MW26" s="901"/>
      <c r="MX26" s="901"/>
      <c r="MY26" s="901"/>
      <c r="MZ26" s="901"/>
      <c r="NA26" s="901"/>
      <c r="NB26" s="901"/>
      <c r="NC26" s="901"/>
      <c r="ND26" s="901"/>
      <c r="NE26" s="901"/>
      <c r="NF26" s="901"/>
      <c r="NG26" s="901"/>
      <c r="NH26" s="901"/>
      <c r="NI26" s="901"/>
      <c r="NJ26" s="901"/>
      <c r="NK26" s="901"/>
      <c r="NL26" s="901"/>
      <c r="NM26" s="901"/>
      <c r="NN26" s="901"/>
      <c r="NO26" s="901"/>
      <c r="NP26" s="901"/>
      <c r="NQ26" s="901"/>
      <c r="NR26" s="901"/>
      <c r="NS26" s="901"/>
      <c r="NT26" s="901"/>
      <c r="NU26" s="901"/>
      <c r="NV26" s="901"/>
      <c r="NW26" s="901"/>
      <c r="NX26" s="901"/>
      <c r="NY26" s="901"/>
      <c r="NZ26" s="901"/>
      <c r="OA26" s="901"/>
      <c r="OB26" s="901"/>
      <c r="OC26" s="901"/>
      <c r="OD26" s="901"/>
      <c r="OE26" s="901"/>
      <c r="OF26" s="901"/>
      <c r="OG26" s="901"/>
      <c r="OH26" s="901"/>
      <c r="OI26" s="901"/>
      <c r="OJ26" s="901"/>
      <c r="OK26" s="901"/>
      <c r="OL26" s="901"/>
      <c r="OM26" s="901"/>
      <c r="ON26" s="901"/>
      <c r="OO26" s="901"/>
      <c r="OP26" s="901"/>
      <c r="OQ26" s="901"/>
      <c r="OR26" s="901"/>
      <c r="OS26" s="901"/>
      <c r="OT26" s="901"/>
      <c r="OU26" s="901"/>
      <c r="OV26" s="901"/>
      <c r="OW26" s="901"/>
      <c r="OX26" s="901"/>
      <c r="OY26" s="901"/>
      <c r="OZ26" s="901"/>
      <c r="PA26" s="901"/>
      <c r="PB26" s="901"/>
      <c r="PC26" s="901"/>
      <c r="PD26" s="901"/>
      <c r="PE26" s="901"/>
      <c r="PF26" s="901"/>
      <c r="PG26" s="901"/>
      <c r="PH26" s="901"/>
      <c r="PI26" s="901"/>
      <c r="PJ26" s="901"/>
      <c r="PK26" s="901"/>
      <c r="PL26" s="901"/>
      <c r="PM26" s="901"/>
      <c r="PN26" s="901"/>
      <c r="PO26" s="901"/>
      <c r="PP26" s="901"/>
      <c r="PQ26" s="901"/>
      <c r="PR26" s="901"/>
      <c r="PS26" s="901"/>
      <c r="PT26" s="901"/>
      <c r="PU26" s="901"/>
      <c r="PV26" s="901"/>
      <c r="PW26" s="901"/>
      <c r="PX26" s="901"/>
      <c r="PY26" s="901"/>
      <c r="PZ26" s="901"/>
      <c r="QA26" s="901"/>
      <c r="QB26" s="901"/>
      <c r="QC26" s="901"/>
      <c r="QD26" s="901"/>
      <c r="QE26" s="901"/>
      <c r="QF26" s="901"/>
      <c r="QG26" s="901"/>
      <c r="QH26" s="901"/>
      <c r="QI26" s="901"/>
      <c r="QJ26" s="901"/>
      <c r="QK26" s="901"/>
      <c r="QL26" s="901"/>
      <c r="QM26" s="901"/>
      <c r="QN26" s="901"/>
      <c r="QO26" s="901"/>
      <c r="QP26" s="901"/>
      <c r="QQ26" s="901"/>
      <c r="QR26" s="901"/>
      <c r="QS26" s="901"/>
      <c r="QT26" s="901"/>
      <c r="QU26" s="901"/>
      <c r="QV26" s="901"/>
      <c r="QW26" s="901"/>
      <c r="QX26" s="901"/>
      <c r="QY26" s="901"/>
      <c r="QZ26" s="901"/>
      <c r="RA26" s="901"/>
      <c r="RB26" s="901"/>
      <c r="RC26" s="901"/>
      <c r="RD26" s="901"/>
      <c r="RE26" s="901"/>
      <c r="RF26" s="901"/>
      <c r="RG26" s="901"/>
      <c r="RH26" s="901"/>
      <c r="RI26" s="901"/>
      <c r="RJ26" s="901"/>
      <c r="RK26" s="901"/>
      <c r="RL26" s="901"/>
      <c r="RM26" s="901"/>
      <c r="RN26" s="901"/>
      <c r="RO26" s="901"/>
      <c r="RP26" s="901"/>
      <c r="RQ26" s="901"/>
      <c r="RR26" s="901"/>
      <c r="RS26" s="901"/>
      <c r="RT26" s="901"/>
      <c r="RU26" s="901"/>
      <c r="RV26" s="901"/>
      <c r="RW26" s="901"/>
      <c r="RX26" s="901"/>
      <c r="RY26" s="901"/>
      <c r="RZ26" s="901"/>
      <c r="SA26" s="901"/>
      <c r="SB26" s="901"/>
      <c r="SC26" s="901"/>
      <c r="SD26" s="901"/>
      <c r="SE26" s="901"/>
      <c r="SF26" s="901"/>
      <c r="SG26" s="901"/>
      <c r="SH26" s="901"/>
      <c r="SI26" s="901"/>
      <c r="SJ26" s="901"/>
      <c r="SK26" s="901"/>
      <c r="SL26" s="901"/>
      <c r="SM26" s="901"/>
      <c r="SN26" s="901"/>
      <c r="SO26" s="901"/>
      <c r="SP26" s="901"/>
      <c r="SQ26" s="901"/>
      <c r="SR26" s="901"/>
      <c r="SS26" s="901"/>
      <c r="ST26" s="901"/>
      <c r="SU26" s="901"/>
      <c r="SV26" s="901"/>
      <c r="SW26" s="901"/>
      <c r="SX26" s="901"/>
      <c r="SY26" s="901"/>
      <c r="SZ26" s="901"/>
      <c r="TA26" s="901"/>
      <c r="TB26" s="901"/>
      <c r="TC26" s="901"/>
      <c r="TD26" s="901"/>
      <c r="TE26" s="901"/>
      <c r="TF26" s="901"/>
      <c r="TG26" s="901"/>
      <c r="TH26" s="901"/>
      <c r="TI26" s="901"/>
      <c r="TJ26" s="901"/>
      <c r="TK26" s="901"/>
      <c r="TL26" s="901"/>
      <c r="TM26" s="901"/>
      <c r="TN26" s="901"/>
      <c r="TO26" s="901"/>
      <c r="TP26" s="901"/>
      <c r="TQ26" s="901"/>
      <c r="TR26" s="901"/>
      <c r="TS26" s="901"/>
      <c r="TT26" s="901"/>
      <c r="TU26" s="901"/>
      <c r="TV26" s="901"/>
      <c r="TW26" s="901"/>
      <c r="TX26" s="901"/>
      <c r="TY26" s="901"/>
      <c r="TZ26" s="901"/>
      <c r="UA26" s="901"/>
      <c r="UB26" s="901"/>
      <c r="UC26" s="901"/>
      <c r="UD26" s="901"/>
      <c r="UE26" s="901"/>
      <c r="UF26" s="901"/>
      <c r="UG26" s="901"/>
      <c r="UH26" s="901"/>
      <c r="UI26" s="901"/>
      <c r="UJ26" s="901"/>
      <c r="UK26" s="901"/>
      <c r="UL26" s="901"/>
      <c r="UM26" s="901"/>
      <c r="UN26" s="901"/>
      <c r="UO26" s="901"/>
      <c r="UP26" s="901"/>
      <c r="UQ26" s="901"/>
      <c r="UR26" s="901"/>
      <c r="US26" s="901"/>
      <c r="UT26" s="901"/>
      <c r="UU26" s="901"/>
      <c r="UV26" s="901"/>
      <c r="UW26" s="901"/>
      <c r="UX26" s="901"/>
      <c r="UY26" s="901"/>
      <c r="UZ26" s="901"/>
      <c r="VA26" s="901"/>
      <c r="VB26" s="901"/>
      <c r="VC26" s="901"/>
      <c r="VD26" s="901"/>
      <c r="VE26" s="901"/>
      <c r="VF26" s="901"/>
      <c r="VG26" s="901"/>
      <c r="VH26" s="901"/>
      <c r="VI26" s="901"/>
      <c r="VJ26" s="901"/>
      <c r="VK26" s="901"/>
      <c r="VL26" s="901"/>
      <c r="VM26" s="901"/>
      <c r="VN26" s="901"/>
      <c r="VO26" s="901"/>
      <c r="VP26" s="901"/>
      <c r="VQ26" s="901"/>
      <c r="VR26" s="901"/>
      <c r="VS26" s="901"/>
      <c r="VT26" s="901"/>
      <c r="VU26" s="901"/>
      <c r="VV26" s="901"/>
      <c r="VW26" s="901"/>
      <c r="VX26" s="901"/>
      <c r="VY26" s="901"/>
      <c r="VZ26" s="901"/>
      <c r="WA26" s="901"/>
      <c r="WB26" s="901"/>
      <c r="WC26" s="901"/>
      <c r="WD26" s="901"/>
      <c r="WE26" s="901"/>
      <c r="WF26" s="901"/>
      <c r="WG26" s="901"/>
      <c r="WH26" s="901"/>
      <c r="WI26" s="901"/>
      <c r="WJ26" s="901"/>
      <c r="WK26" s="901"/>
      <c r="WL26" s="901"/>
      <c r="WM26" s="901"/>
      <c r="WN26" s="901"/>
      <c r="WO26" s="901"/>
      <c r="WP26" s="901"/>
      <c r="WQ26" s="901"/>
      <c r="WR26" s="901"/>
      <c r="WS26" s="901"/>
      <c r="WT26" s="901"/>
      <c r="WU26" s="901"/>
      <c r="WV26" s="901"/>
      <c r="WW26" s="901"/>
      <c r="WX26" s="901"/>
      <c r="WY26" s="901"/>
      <c r="WZ26" s="901"/>
      <c r="XA26" s="901"/>
      <c r="XB26" s="901"/>
      <c r="XC26" s="901"/>
      <c r="XD26" s="901"/>
      <c r="XE26" s="901"/>
      <c r="XF26" s="901"/>
      <c r="XG26" s="901"/>
      <c r="XH26" s="901"/>
      <c r="XI26" s="901"/>
      <c r="XJ26" s="901"/>
      <c r="XK26" s="901"/>
      <c r="XL26" s="901"/>
      <c r="XM26" s="901"/>
      <c r="XN26" s="901"/>
      <c r="XO26" s="901"/>
      <c r="XP26" s="901"/>
      <c r="XQ26" s="901"/>
      <c r="XR26" s="901"/>
      <c r="XS26" s="901"/>
      <c r="XT26" s="901"/>
      <c r="XU26" s="901"/>
      <c r="XV26" s="901"/>
      <c r="XW26" s="901"/>
      <c r="XX26" s="901"/>
      <c r="XY26" s="901"/>
      <c r="XZ26" s="901"/>
      <c r="YA26" s="901"/>
      <c r="YB26" s="901"/>
      <c r="YC26" s="901"/>
      <c r="YD26" s="901"/>
      <c r="YE26" s="901"/>
      <c r="YF26" s="901"/>
      <c r="YG26" s="901"/>
      <c r="YH26" s="901"/>
      <c r="YI26" s="901"/>
      <c r="YJ26" s="901"/>
      <c r="YK26" s="901"/>
      <c r="YL26" s="901"/>
      <c r="YM26" s="901"/>
      <c r="YN26" s="901"/>
      <c r="YO26" s="901"/>
      <c r="YP26" s="901"/>
      <c r="YQ26" s="901"/>
      <c r="YR26" s="901"/>
      <c r="YS26" s="901"/>
      <c r="YT26" s="901"/>
      <c r="YU26" s="901"/>
      <c r="YV26" s="901"/>
      <c r="YW26" s="901"/>
      <c r="YX26" s="901"/>
      <c r="YY26" s="901"/>
      <c r="YZ26" s="901"/>
      <c r="ZA26" s="901"/>
      <c r="ZB26" s="901"/>
      <c r="ZC26" s="901"/>
      <c r="ZD26" s="901"/>
      <c r="ZE26" s="901"/>
      <c r="ZF26" s="901"/>
      <c r="ZG26" s="901"/>
      <c r="ZH26" s="901"/>
      <c r="ZI26" s="901"/>
      <c r="ZJ26" s="901"/>
      <c r="ZK26" s="901"/>
      <c r="ZL26" s="901"/>
      <c r="ZM26" s="901"/>
      <c r="ZN26" s="901"/>
      <c r="ZO26" s="901"/>
      <c r="ZP26" s="901"/>
      <c r="ZQ26" s="901"/>
      <c r="ZR26" s="901"/>
      <c r="ZS26" s="901"/>
      <c r="ZT26" s="901"/>
      <c r="ZU26" s="901"/>
      <c r="ZV26" s="901"/>
      <c r="ZW26" s="901"/>
      <c r="ZX26" s="901"/>
      <c r="ZY26" s="901"/>
      <c r="ZZ26" s="901"/>
      <c r="AAA26" s="901"/>
      <c r="AAB26" s="901"/>
      <c r="AAC26" s="901"/>
      <c r="AAD26" s="901"/>
      <c r="AAE26" s="901"/>
      <c r="AAF26" s="901"/>
      <c r="AAG26" s="901"/>
      <c r="AAH26" s="901"/>
      <c r="AAI26" s="901"/>
      <c r="AAJ26" s="901"/>
      <c r="AAK26" s="901"/>
      <c r="AAL26" s="901"/>
      <c r="AAM26" s="901"/>
      <c r="AAN26" s="901"/>
      <c r="AAO26" s="901"/>
      <c r="AAP26" s="901"/>
      <c r="AAQ26" s="901"/>
      <c r="AAR26" s="901"/>
      <c r="AAS26" s="901"/>
      <c r="AAT26" s="901"/>
      <c r="AAU26" s="901"/>
      <c r="AAV26" s="901"/>
      <c r="AAW26" s="901"/>
      <c r="AAX26" s="901"/>
      <c r="AAY26" s="901"/>
      <c r="AAZ26" s="901"/>
      <c r="ABA26" s="901"/>
      <c r="ABB26" s="901"/>
      <c r="ABC26" s="901"/>
      <c r="ABD26" s="901"/>
      <c r="ABE26" s="901"/>
      <c r="ABF26" s="901"/>
      <c r="ABG26" s="901"/>
      <c r="ABH26" s="901"/>
      <c r="ABI26" s="901"/>
      <c r="ABJ26" s="901"/>
      <c r="ABK26" s="901"/>
      <c r="ABL26" s="901"/>
      <c r="ABM26" s="901"/>
      <c r="ABN26" s="901"/>
      <c r="ABO26" s="901"/>
      <c r="ABP26" s="901"/>
      <c r="ABQ26" s="901"/>
      <c r="ABR26" s="901"/>
      <c r="ABS26" s="901"/>
      <c r="ABT26" s="901"/>
      <c r="ABU26" s="901"/>
      <c r="ABV26" s="901"/>
      <c r="ABW26" s="901"/>
      <c r="ABX26" s="901"/>
      <c r="ABY26" s="901"/>
      <c r="ABZ26" s="901"/>
      <c r="ACA26" s="901"/>
      <c r="ACB26" s="901"/>
      <c r="ACC26" s="901"/>
      <c r="ACD26" s="901"/>
      <c r="ACE26" s="901"/>
      <c r="ACF26" s="901"/>
      <c r="ACG26" s="901"/>
      <c r="ACH26" s="901"/>
      <c r="ACI26" s="901"/>
      <c r="ACJ26" s="901"/>
      <c r="ACK26" s="901"/>
      <c r="ACL26" s="901"/>
      <c r="ACM26" s="901"/>
      <c r="ACN26" s="901"/>
      <c r="ACO26" s="901"/>
      <c r="ACP26" s="901"/>
      <c r="ACQ26" s="901"/>
      <c r="ACR26" s="901"/>
      <c r="ACS26" s="901"/>
      <c r="ACT26" s="901"/>
      <c r="ACU26" s="901"/>
      <c r="ACV26" s="901"/>
      <c r="ACW26" s="901"/>
      <c r="ACX26" s="901"/>
      <c r="ACY26" s="901"/>
      <c r="ACZ26" s="901"/>
      <c r="ADA26" s="901"/>
      <c r="ADB26" s="901"/>
      <c r="ADC26" s="901"/>
      <c r="ADD26" s="901"/>
      <c r="ADE26" s="901"/>
      <c r="ADF26" s="901"/>
      <c r="ADG26" s="901"/>
      <c r="ADH26" s="901"/>
      <c r="ADI26" s="901"/>
      <c r="ADJ26" s="901"/>
      <c r="ADK26" s="901"/>
      <c r="ADL26" s="901"/>
      <c r="ADM26" s="901"/>
      <c r="ADN26" s="901"/>
      <c r="ADO26" s="901"/>
      <c r="ADP26" s="901"/>
      <c r="ADQ26" s="901"/>
      <c r="ADR26" s="901"/>
      <c r="ADS26" s="901"/>
      <c r="ADT26" s="901"/>
      <c r="ADU26" s="901"/>
      <c r="ADV26" s="901"/>
      <c r="ADW26" s="901"/>
      <c r="ADX26" s="901"/>
      <c r="ADY26" s="901"/>
      <c r="ADZ26" s="901"/>
      <c r="AEA26" s="901"/>
      <c r="AEB26" s="901"/>
      <c r="AEC26" s="901"/>
      <c r="AED26" s="901"/>
      <c r="AEE26" s="901"/>
      <c r="AEF26" s="901"/>
      <c r="AEG26" s="901"/>
      <c r="AEH26" s="901"/>
      <c r="AEI26" s="901"/>
      <c r="AEJ26" s="901"/>
      <c r="AEK26" s="901"/>
      <c r="AEL26" s="901"/>
      <c r="AEM26" s="901"/>
      <c r="AEN26" s="901"/>
      <c r="AEO26" s="901"/>
      <c r="AEP26" s="901"/>
      <c r="AEQ26" s="901"/>
      <c r="AER26" s="901"/>
      <c r="AES26" s="901"/>
      <c r="AET26" s="901"/>
      <c r="AEU26" s="901"/>
      <c r="AEV26" s="901"/>
      <c r="AEW26" s="901"/>
      <c r="AEX26" s="901"/>
      <c r="AEY26" s="901"/>
      <c r="AEZ26" s="901"/>
      <c r="AFA26" s="901"/>
      <c r="AFB26" s="901"/>
      <c r="AFC26" s="901"/>
      <c r="AFD26" s="901"/>
      <c r="AFE26" s="901"/>
      <c r="AFF26" s="901"/>
      <c r="AFG26" s="901"/>
      <c r="AFH26" s="901"/>
      <c r="AFI26" s="901"/>
      <c r="AFJ26" s="901"/>
      <c r="AFK26" s="901"/>
      <c r="AFL26" s="901"/>
      <c r="AFM26" s="901"/>
      <c r="AFN26" s="901"/>
      <c r="AFO26" s="901"/>
      <c r="AFP26" s="901"/>
      <c r="AFQ26" s="901"/>
      <c r="AFR26" s="901"/>
      <c r="AFS26" s="901"/>
      <c r="AFT26" s="901"/>
      <c r="AFU26" s="901"/>
      <c r="AFV26" s="901"/>
      <c r="AFW26" s="901"/>
      <c r="AFX26" s="901"/>
      <c r="AFY26" s="901"/>
      <c r="AFZ26" s="901"/>
      <c r="AGA26" s="901"/>
      <c r="AGB26" s="901"/>
      <c r="AGC26" s="901"/>
      <c r="AGD26" s="901"/>
      <c r="AGE26" s="901"/>
      <c r="AGF26" s="901"/>
      <c r="AGG26" s="901"/>
      <c r="AGH26" s="901"/>
      <c r="AGI26" s="901"/>
      <c r="AGJ26" s="901"/>
      <c r="AGK26" s="901"/>
      <c r="AGL26" s="901"/>
      <c r="AGM26" s="901"/>
      <c r="AGN26" s="901"/>
      <c r="AGO26" s="901"/>
      <c r="AGP26" s="901"/>
      <c r="AGQ26" s="901"/>
      <c r="AGR26" s="901"/>
      <c r="AGS26" s="901"/>
      <c r="AGT26" s="901"/>
      <c r="AGU26" s="901"/>
      <c r="AGV26" s="901"/>
      <c r="AGW26" s="901"/>
      <c r="AGX26" s="901"/>
      <c r="AGY26" s="901"/>
      <c r="AGZ26" s="901"/>
      <c r="AHA26" s="901"/>
      <c r="AHB26" s="901"/>
      <c r="AHC26" s="901"/>
      <c r="AHD26" s="901"/>
      <c r="AHE26" s="901"/>
      <c r="AHF26" s="901"/>
      <c r="AHG26" s="901"/>
      <c r="AHH26" s="901"/>
      <c r="AHI26" s="901"/>
      <c r="AHJ26" s="901"/>
      <c r="AHK26" s="901"/>
      <c r="AHL26" s="901"/>
      <c r="AHM26" s="901"/>
      <c r="AHN26" s="901"/>
      <c r="AHO26" s="901"/>
      <c r="AHP26" s="901"/>
      <c r="AHQ26" s="901"/>
      <c r="AHR26" s="901"/>
      <c r="AHS26" s="901"/>
      <c r="AHT26" s="901"/>
      <c r="AHU26" s="901"/>
      <c r="AHV26" s="901"/>
      <c r="AHW26" s="901"/>
      <c r="AHX26" s="901"/>
      <c r="AHY26" s="901"/>
      <c r="AHZ26" s="901"/>
      <c r="AIA26" s="901"/>
      <c r="AIB26" s="901"/>
      <c r="AIC26" s="901"/>
      <c r="AID26" s="901"/>
      <c r="AIE26" s="901"/>
      <c r="AIF26" s="901"/>
      <c r="AIG26" s="901"/>
      <c r="AIH26" s="901"/>
      <c r="AII26" s="901"/>
      <c r="AIJ26" s="901"/>
      <c r="AIK26" s="901"/>
      <c r="AIL26" s="901"/>
      <c r="AIM26" s="901"/>
      <c r="AIN26" s="901"/>
      <c r="AIO26" s="901"/>
      <c r="AIP26" s="901"/>
      <c r="AIQ26" s="901"/>
      <c r="AIR26" s="901"/>
      <c r="AIS26" s="901"/>
      <c r="AIT26" s="901"/>
      <c r="AIU26" s="901"/>
      <c r="AIV26" s="901"/>
      <c r="AIW26" s="901"/>
      <c r="AIX26" s="901"/>
      <c r="AIY26" s="901"/>
      <c r="AIZ26" s="901"/>
      <c r="AJA26" s="901"/>
      <c r="AJB26" s="901"/>
      <c r="AJC26" s="901"/>
      <c r="AJD26" s="901"/>
      <c r="AJE26" s="901"/>
      <c r="AJF26" s="901"/>
      <c r="AJG26" s="901"/>
      <c r="AJH26" s="901"/>
      <c r="AJI26" s="901"/>
      <c r="AJJ26" s="901"/>
      <c r="AJK26" s="901"/>
      <c r="AJL26" s="901"/>
      <c r="AJM26" s="901"/>
      <c r="AJN26" s="901"/>
      <c r="AJO26" s="901"/>
      <c r="AJP26" s="901"/>
      <c r="AJQ26" s="901"/>
      <c r="AJR26" s="901"/>
      <c r="AJS26" s="901"/>
      <c r="AJT26" s="901"/>
      <c r="AJU26" s="901"/>
      <c r="AJV26" s="901"/>
      <c r="AJW26" s="901"/>
      <c r="AJX26" s="901"/>
      <c r="AJY26" s="901"/>
      <c r="AJZ26" s="901"/>
      <c r="AKA26" s="901"/>
      <c r="AKB26" s="901"/>
      <c r="AKC26" s="901"/>
      <c r="AKD26" s="901"/>
      <c r="AKE26" s="901"/>
      <c r="AKF26" s="901"/>
      <c r="AKG26" s="901"/>
      <c r="AKH26" s="901"/>
      <c r="AKI26" s="901"/>
      <c r="AKJ26" s="901"/>
      <c r="AKK26" s="901"/>
      <c r="AKL26" s="901"/>
      <c r="AKM26" s="901"/>
      <c r="AKN26" s="901"/>
      <c r="AKO26" s="901"/>
      <c r="AKP26" s="901"/>
      <c r="AKQ26" s="901"/>
      <c r="AKR26" s="901"/>
      <c r="AKS26" s="901"/>
      <c r="AKT26" s="901"/>
      <c r="AKU26" s="901"/>
      <c r="AKV26" s="901"/>
      <c r="AKW26" s="901"/>
      <c r="AKX26" s="901"/>
      <c r="AKY26" s="901"/>
      <c r="AKZ26" s="901"/>
      <c r="ALA26" s="901"/>
      <c r="ALB26" s="901"/>
      <c r="ALC26" s="901"/>
      <c r="ALD26" s="901"/>
      <c r="ALE26" s="901"/>
      <c r="ALF26" s="901"/>
      <c r="ALG26" s="901"/>
      <c r="ALH26" s="901"/>
      <c r="ALI26" s="901"/>
      <c r="ALJ26" s="901"/>
      <c r="ALK26" s="901"/>
      <c r="ALL26" s="901"/>
      <c r="ALM26" s="901"/>
      <c r="ALN26" s="901"/>
      <c r="ALO26" s="901"/>
      <c r="ALP26" s="901"/>
      <c r="ALQ26" s="901"/>
      <c r="ALR26" s="901"/>
      <c r="ALS26" s="901"/>
      <c r="ALT26" s="901"/>
      <c r="ALU26" s="901"/>
      <c r="ALV26" s="901"/>
      <c r="ALW26" s="901"/>
      <c r="ALX26" s="901"/>
      <c r="ALY26" s="901"/>
      <c r="ALZ26" s="901"/>
      <c r="AMA26" s="901"/>
      <c r="AMB26" s="901"/>
      <c r="AMC26" s="901"/>
      <c r="AMD26" s="901"/>
      <c r="AME26" s="901"/>
      <c r="AMF26" s="901"/>
      <c r="AMG26" s="901"/>
      <c r="AMH26" s="901"/>
      <c r="AMI26" s="901"/>
      <c r="AMJ26" s="901"/>
      <c r="AMK26" s="901"/>
      <c r="AML26" s="901"/>
    </row>
    <row r="27" spans="1:1026">
      <c r="A27" s="144"/>
      <c r="B27" s="680"/>
      <c r="C27" s="680"/>
      <c r="D27" s="680"/>
      <c r="E27" s="676"/>
      <c r="F27" s="680"/>
      <c r="G27" s="145"/>
      <c r="H27" s="146" t="s">
        <v>102</v>
      </c>
      <c r="I27" s="147">
        <f t="shared" ref="I27:O27" si="4">SUM(I23:I26)</f>
        <v>924379</v>
      </c>
      <c r="J27" s="148">
        <f t="shared" si="4"/>
        <v>925751.71</v>
      </c>
      <c r="K27" s="147">
        <f t="shared" si="4"/>
        <v>975180</v>
      </c>
      <c r="L27" s="148">
        <f t="shared" si="4"/>
        <v>868441.32</v>
      </c>
      <c r="M27" s="147">
        <f t="shared" si="4"/>
        <v>975180</v>
      </c>
      <c r="N27" s="148">
        <f t="shared" si="4"/>
        <v>988256.91999999993</v>
      </c>
      <c r="O27" s="149">
        <f t="shared" si="4"/>
        <v>988110</v>
      </c>
      <c r="P27" s="150">
        <f>SUM(P24:P26)</f>
        <v>720000</v>
      </c>
      <c r="Q27" s="149">
        <v>1003873</v>
      </c>
      <c r="R27" s="150">
        <f>SUM(R24:R26)</f>
        <v>881059</v>
      </c>
      <c r="S27" s="151">
        <f>SUM(S23:S26)</f>
        <v>1110404</v>
      </c>
      <c r="T27" s="151">
        <f>SUM(T23:T26)</f>
        <v>1110404</v>
      </c>
      <c r="U27" s="151"/>
      <c r="V27" s="151">
        <f>SUM(V23:V26)</f>
        <v>1110404</v>
      </c>
      <c r="W27" s="152">
        <f>SUM(W23:W26)</f>
        <v>969052.14</v>
      </c>
      <c r="X27" s="153">
        <f>SUM(X23:X26)</f>
        <v>1110404</v>
      </c>
      <c r="Y27" s="190">
        <v>399000</v>
      </c>
      <c r="Z27" s="153">
        <f>SUM(Z23:Z26)</f>
        <v>1110404</v>
      </c>
      <c r="AA27" s="153">
        <f>SUM(AA23:AA26)</f>
        <v>1078978.9400000002</v>
      </c>
      <c r="AB27" s="153">
        <f>SUM(AB23:AB26)</f>
        <v>1239796.7921052631</v>
      </c>
      <c r="AC27" s="155">
        <f>957394.61+121705.58</f>
        <v>1079100.19</v>
      </c>
      <c r="AD27" s="153">
        <f>SUM(AD23:AD26)</f>
        <v>1239796.7921052631</v>
      </c>
      <c r="AE27" s="153">
        <f t="shared" ref="AE27" si="5">SUM(AE23:AE26)</f>
        <v>1210921.5</v>
      </c>
      <c r="AF27" s="153">
        <f>SUM(AF23:AF26)</f>
        <v>1488298.6842105263</v>
      </c>
      <c r="AG27" s="153">
        <f t="shared" ref="AG27" si="6">SUM(AG23:AG26)</f>
        <v>540000</v>
      </c>
      <c r="AH27" s="153">
        <f>SUM(AH23:AH26)</f>
        <v>1488298.6842105263</v>
      </c>
      <c r="AI27" s="153">
        <f>SUM(AI23:AI26)</f>
        <v>1488801.75</v>
      </c>
      <c r="AJ27" s="153">
        <f>SUM(AJ23:AJ26)</f>
        <v>1538520.9750000001</v>
      </c>
      <c r="AK27" s="702"/>
      <c r="AM27" s="106"/>
      <c r="AN27" s="106"/>
    </row>
    <row r="28" spans="1:1026">
      <c r="A28" s="80"/>
      <c r="B28" s="14"/>
      <c r="C28" s="14"/>
      <c r="D28" s="14"/>
      <c r="E28" s="15"/>
      <c r="F28" s="14"/>
      <c r="G28" s="81"/>
      <c r="H28" s="107"/>
      <c r="I28" s="94"/>
      <c r="J28" s="95"/>
      <c r="K28" s="94"/>
      <c r="L28" s="95"/>
      <c r="M28" s="94"/>
      <c r="N28" s="95"/>
      <c r="O28" s="96"/>
      <c r="P28" s="97"/>
      <c r="Q28" s="96"/>
      <c r="R28" s="97"/>
      <c r="S28" s="99"/>
      <c r="T28" s="99"/>
      <c r="U28" s="99"/>
      <c r="V28" s="99"/>
      <c r="W28" s="100"/>
      <c r="X28" s="101"/>
      <c r="Y28" s="102"/>
      <c r="Z28" s="103"/>
      <c r="AA28" s="104"/>
      <c r="AB28" s="103"/>
      <c r="AC28" s="104"/>
      <c r="AD28" s="103"/>
      <c r="AE28" s="104"/>
      <c r="AF28" s="103"/>
      <c r="AG28" s="666"/>
      <c r="AH28" s="103"/>
      <c r="AI28" s="103"/>
      <c r="AJ28" s="103"/>
      <c r="AK28" s="705"/>
      <c r="AM28" s="106"/>
      <c r="AN28" s="106"/>
      <c r="AO28" s="191"/>
      <c r="AP28" s="192"/>
    </row>
    <row r="29" spans="1:1026">
      <c r="A29" s="80">
        <v>3</v>
      </c>
      <c r="B29" s="14" t="s">
        <v>16</v>
      </c>
      <c r="C29" s="14">
        <v>6</v>
      </c>
      <c r="D29" s="14" t="s">
        <v>16</v>
      </c>
      <c r="E29" s="15" t="s">
        <v>84</v>
      </c>
      <c r="F29" s="14" t="s">
        <v>16</v>
      </c>
      <c r="G29" s="81" t="s">
        <v>70</v>
      </c>
      <c r="H29" s="107" t="s">
        <v>103</v>
      </c>
      <c r="I29" s="193">
        <v>0</v>
      </c>
      <c r="J29" s="194">
        <v>0</v>
      </c>
      <c r="K29" s="193">
        <v>0</v>
      </c>
      <c r="L29" s="194">
        <v>0</v>
      </c>
      <c r="M29" s="193">
        <v>0</v>
      </c>
      <c r="N29" s="194">
        <v>0</v>
      </c>
      <c r="O29" s="195">
        <v>0</v>
      </c>
      <c r="P29" s="196">
        <v>0</v>
      </c>
      <c r="Q29" s="195">
        <v>0</v>
      </c>
      <c r="R29" s="196">
        <v>0</v>
      </c>
      <c r="S29" s="197">
        <v>0</v>
      </c>
      <c r="T29" s="197">
        <v>0</v>
      </c>
      <c r="U29" s="197"/>
      <c r="V29" s="197">
        <v>0</v>
      </c>
      <c r="W29" s="198">
        <v>0</v>
      </c>
      <c r="X29" s="199">
        <v>0</v>
      </c>
      <c r="Y29" s="163">
        <v>0</v>
      </c>
      <c r="Z29" s="164">
        <v>0</v>
      </c>
      <c r="AA29" s="165">
        <v>0</v>
      </c>
      <c r="AB29" s="164">
        <v>0</v>
      </c>
      <c r="AC29" s="165">
        <v>0</v>
      </c>
      <c r="AD29" s="164">
        <v>0</v>
      </c>
      <c r="AE29" s="165"/>
      <c r="AF29" s="164">
        <v>0</v>
      </c>
      <c r="AG29" s="748"/>
      <c r="AH29" s="164">
        <v>0</v>
      </c>
      <c r="AI29" s="164">
        <v>0</v>
      </c>
      <c r="AJ29" s="164">
        <v>0</v>
      </c>
      <c r="AK29" s="700"/>
      <c r="AM29" s="106"/>
      <c r="AN29" s="106"/>
      <c r="AO29" s="191"/>
      <c r="AP29" s="192"/>
    </row>
    <row r="30" spans="1:1026">
      <c r="A30" s="80"/>
      <c r="B30" s="14"/>
      <c r="C30" s="14"/>
      <c r="D30" s="14"/>
      <c r="E30" s="15"/>
      <c r="F30" s="14"/>
      <c r="G30" s="81"/>
      <c r="H30" s="107"/>
      <c r="I30" s="94">
        <v>0</v>
      </c>
      <c r="J30" s="95">
        <v>0</v>
      </c>
      <c r="K30" s="94"/>
      <c r="L30" s="95"/>
      <c r="M30" s="94">
        <v>0</v>
      </c>
      <c r="N30" s="95">
        <v>0</v>
      </c>
      <c r="O30" s="96"/>
      <c r="P30" s="97"/>
      <c r="Q30" s="96"/>
      <c r="R30" s="97"/>
      <c r="S30" s="99"/>
      <c r="T30" s="99"/>
      <c r="U30" s="99"/>
      <c r="V30" s="99"/>
      <c r="W30" s="100"/>
      <c r="X30" s="101"/>
      <c r="Y30" s="102"/>
      <c r="Z30" s="103"/>
      <c r="AA30" s="104"/>
      <c r="AB30" s="103"/>
      <c r="AC30" s="104"/>
      <c r="AD30" s="103"/>
      <c r="AE30" s="104"/>
      <c r="AF30" s="103"/>
      <c r="AG30" s="666"/>
      <c r="AH30" s="103"/>
      <c r="AI30" s="103"/>
      <c r="AJ30" s="103"/>
      <c r="AK30" s="706"/>
      <c r="AM30" s="200"/>
      <c r="AN30" s="106"/>
    </row>
    <row r="31" spans="1:1026">
      <c r="A31" s="144"/>
      <c r="B31" s="680"/>
      <c r="C31" s="680"/>
      <c r="D31" s="680"/>
      <c r="E31" s="676"/>
      <c r="F31" s="680"/>
      <c r="G31" s="145"/>
      <c r="H31" s="146" t="s">
        <v>104</v>
      </c>
      <c r="I31" s="147">
        <f t="shared" ref="I31:P31" si="7">SUM(I27:I30)</f>
        <v>924379</v>
      </c>
      <c r="J31" s="148">
        <f t="shared" si="7"/>
        <v>925751.71</v>
      </c>
      <c r="K31" s="147">
        <f t="shared" si="7"/>
        <v>975180</v>
      </c>
      <c r="L31" s="148">
        <f t="shared" si="7"/>
        <v>868441.32</v>
      </c>
      <c r="M31" s="147">
        <f t="shared" si="7"/>
        <v>975180</v>
      </c>
      <c r="N31" s="148">
        <f t="shared" si="7"/>
        <v>988256.91999999993</v>
      </c>
      <c r="O31" s="149">
        <f t="shared" si="7"/>
        <v>988110</v>
      </c>
      <c r="P31" s="150">
        <f t="shared" si="7"/>
        <v>720000</v>
      </c>
      <c r="Q31" s="149">
        <v>1003873</v>
      </c>
      <c r="R31" s="150">
        <f>SUM(R27:R30)</f>
        <v>881059</v>
      </c>
      <c r="S31" s="151">
        <f>SUM(S27:S30)</f>
        <v>1110404</v>
      </c>
      <c r="T31" s="151">
        <f>SUM(T27:T30)</f>
        <v>1110404</v>
      </c>
      <c r="U31" s="151"/>
      <c r="V31" s="151">
        <f t="shared" ref="V31:AE31" si="8">SUM(V27:V30)</f>
        <v>1110404</v>
      </c>
      <c r="W31" s="152">
        <f t="shared" si="8"/>
        <v>969052.14</v>
      </c>
      <c r="X31" s="153">
        <f t="shared" si="8"/>
        <v>1110404</v>
      </c>
      <c r="Y31" s="154">
        <f t="shared" si="8"/>
        <v>399000</v>
      </c>
      <c r="Z31" s="153">
        <f t="shared" si="8"/>
        <v>1110404</v>
      </c>
      <c r="AA31" s="153">
        <f t="shared" si="8"/>
        <v>1078978.9400000002</v>
      </c>
      <c r="AB31" s="153">
        <f t="shared" si="8"/>
        <v>1239796.7921052631</v>
      </c>
      <c r="AC31" s="155">
        <f t="shared" ref="AC31" si="9">SUM(AC27:AC30)</f>
        <v>1079100.19</v>
      </c>
      <c r="AD31" s="153">
        <f t="shared" si="8"/>
        <v>1239796.7921052631</v>
      </c>
      <c r="AE31" s="153">
        <f t="shared" si="8"/>
        <v>1210921.5</v>
      </c>
      <c r="AF31" s="153">
        <f>SUM(AF27:AF30)</f>
        <v>1488298.6842105263</v>
      </c>
      <c r="AG31" s="153">
        <f t="shared" ref="AG31" si="10">SUM(AG27:AG30)</f>
        <v>540000</v>
      </c>
      <c r="AH31" s="153">
        <f>SUM(AH27:AH30)</f>
        <v>1488298.6842105263</v>
      </c>
      <c r="AI31" s="153">
        <f>SUM(AI27:AI30)</f>
        <v>1488801.75</v>
      </c>
      <c r="AJ31" s="153">
        <f>SUM(AJ27:AJ30)</f>
        <v>1538520.9750000001</v>
      </c>
      <c r="AK31" s="702"/>
      <c r="AM31" s="106"/>
      <c r="AN31" s="106"/>
    </row>
    <row r="32" spans="1:1026">
      <c r="A32" s="80"/>
      <c r="B32" s="14"/>
      <c r="C32" s="14"/>
      <c r="D32" s="14"/>
      <c r="E32" s="15"/>
      <c r="F32" s="14"/>
      <c r="G32" s="81"/>
      <c r="H32" s="93"/>
      <c r="I32" s="108"/>
      <c r="J32" s="109"/>
      <c r="K32" s="108"/>
      <c r="L32" s="109"/>
      <c r="M32" s="108"/>
      <c r="N32" s="109"/>
      <c r="O32" s="143"/>
      <c r="P32" s="143"/>
      <c r="Q32" s="143"/>
      <c r="R32" s="143"/>
      <c r="S32" s="100"/>
      <c r="T32" s="100"/>
      <c r="U32" s="100"/>
      <c r="V32" s="100"/>
      <c r="W32" s="100"/>
      <c r="X32" s="201"/>
      <c r="Y32" s="102"/>
      <c r="Z32" s="102"/>
      <c r="AA32" s="104"/>
      <c r="AB32" s="102"/>
      <c r="AC32" s="104"/>
      <c r="AD32" s="102"/>
      <c r="AE32" s="104"/>
      <c r="AF32" s="102"/>
      <c r="AG32" s="666"/>
      <c r="AH32" s="102"/>
      <c r="AI32" s="102"/>
      <c r="AJ32" s="102"/>
      <c r="AK32" s="700"/>
      <c r="AM32" s="202"/>
      <c r="AN32" s="106"/>
    </row>
    <row r="33" spans="1:1026" s="902" customFormat="1">
      <c r="A33" s="1020">
        <v>3</v>
      </c>
      <c r="B33" s="1021" t="s">
        <v>16</v>
      </c>
      <c r="C33" s="1021">
        <v>8</v>
      </c>
      <c r="D33" s="1021" t="s">
        <v>16</v>
      </c>
      <c r="E33" s="1022" t="s">
        <v>70</v>
      </c>
      <c r="F33" s="1021" t="s">
        <v>16</v>
      </c>
      <c r="G33" s="1023" t="s">
        <v>70</v>
      </c>
      <c r="H33" s="1024" t="s">
        <v>105</v>
      </c>
      <c r="I33" s="1025">
        <v>200902</v>
      </c>
      <c r="J33" s="1026">
        <v>11847.17</v>
      </c>
      <c r="K33" s="1025">
        <f>K411-K31-K21-K20-K19-K17</f>
        <v>24300</v>
      </c>
      <c r="L33" s="1026">
        <v>0</v>
      </c>
      <c r="M33" s="1025">
        <v>25078.400000000001</v>
      </c>
      <c r="N33" s="1026">
        <v>0</v>
      </c>
      <c r="O33" s="1027">
        <v>36720</v>
      </c>
      <c r="P33" s="1028">
        <v>36720</v>
      </c>
      <c r="Q33" s="1029">
        <v>49100.13</v>
      </c>
      <c r="R33" s="1028">
        <v>0</v>
      </c>
      <c r="S33" s="1030">
        <v>33256</v>
      </c>
      <c r="T33" s="1030">
        <f>34056</f>
        <v>34056</v>
      </c>
      <c r="U33" s="1030"/>
      <c r="V33" s="1030">
        <f>V430-V17-V31</f>
        <v>14445676</v>
      </c>
      <c r="W33" s="1031">
        <v>0</v>
      </c>
      <c r="X33" s="1032">
        <f>X430-X17-X31</f>
        <v>58286</v>
      </c>
      <c r="Y33" s="1033">
        <v>0</v>
      </c>
      <c r="Z33" s="1032">
        <f>Z430-Z17-Z31</f>
        <v>67356</v>
      </c>
      <c r="AA33" s="1034">
        <v>0</v>
      </c>
      <c r="AB33" s="1035">
        <f>AB430-AB17-AB31</f>
        <v>108893.2078947369</v>
      </c>
      <c r="AC33" s="1035">
        <v>0</v>
      </c>
      <c r="AD33" s="1032">
        <f>AD430-AD17-AD31</f>
        <v>137773.2078947369</v>
      </c>
      <c r="AE33" s="1035"/>
      <c r="AF33" s="1032">
        <f>AF430-AF17-AF31</f>
        <v>141.31578947370872</v>
      </c>
      <c r="AG33" s="924"/>
      <c r="AH33" s="1032">
        <f>AH430-AH17-AH31</f>
        <v>16963.365789473755</v>
      </c>
      <c r="AI33" s="1032">
        <f>AI430-AI17-AI31</f>
        <v>74764.25</v>
      </c>
      <c r="AJ33" s="1065">
        <f>AJ430-AJ17-AJ31</f>
        <v>22081.024999999907</v>
      </c>
      <c r="AK33" s="1036"/>
      <c r="AL33" s="899"/>
      <c r="AM33" s="900"/>
      <c r="AN33" s="900"/>
      <c r="AO33" s="901"/>
      <c r="AP33" s="1037"/>
      <c r="AQ33" s="901"/>
      <c r="AR33" s="901"/>
      <c r="AS33" s="901"/>
      <c r="AT33" s="901"/>
      <c r="AU33" s="901"/>
      <c r="AV33" s="901"/>
      <c r="AW33" s="901"/>
      <c r="AX33" s="901"/>
      <c r="AY33" s="901"/>
      <c r="AZ33" s="901"/>
      <c r="BA33" s="901"/>
      <c r="BB33" s="901"/>
      <c r="BC33" s="901"/>
      <c r="BD33" s="901"/>
      <c r="BE33" s="901"/>
      <c r="BF33" s="901"/>
      <c r="BG33" s="901"/>
      <c r="BH33" s="901"/>
      <c r="BI33" s="901"/>
      <c r="BJ33" s="901"/>
      <c r="BK33" s="901"/>
      <c r="BL33" s="901"/>
      <c r="BM33" s="901"/>
      <c r="BN33" s="901"/>
      <c r="BO33" s="901"/>
      <c r="BP33" s="901"/>
      <c r="BQ33" s="901"/>
      <c r="BR33" s="901"/>
      <c r="BS33" s="901"/>
      <c r="BT33" s="901"/>
      <c r="BU33" s="901"/>
      <c r="BV33" s="901"/>
      <c r="BW33" s="901"/>
      <c r="BX33" s="901"/>
      <c r="BY33" s="901"/>
      <c r="BZ33" s="901"/>
      <c r="CA33" s="901"/>
      <c r="CB33" s="901"/>
      <c r="CC33" s="901"/>
      <c r="CD33" s="901"/>
      <c r="CE33" s="901"/>
      <c r="CF33" s="901"/>
      <c r="CG33" s="901"/>
      <c r="CH33" s="901"/>
      <c r="CI33" s="901"/>
      <c r="CJ33" s="901"/>
      <c r="CK33" s="901"/>
      <c r="CL33" s="901"/>
      <c r="CM33" s="901"/>
      <c r="CN33" s="901"/>
      <c r="CO33" s="901"/>
      <c r="CP33" s="901"/>
      <c r="CQ33" s="901"/>
      <c r="CR33" s="901"/>
      <c r="CS33" s="901"/>
      <c r="CT33" s="901"/>
      <c r="CU33" s="901"/>
      <c r="CV33" s="901"/>
      <c r="CW33" s="901"/>
      <c r="CX33" s="901"/>
      <c r="CY33" s="901"/>
      <c r="CZ33" s="901"/>
      <c r="DA33" s="901"/>
      <c r="DB33" s="901"/>
      <c r="DC33" s="901"/>
      <c r="DD33" s="901"/>
      <c r="DE33" s="901"/>
      <c r="DF33" s="901"/>
      <c r="DG33" s="901"/>
      <c r="DH33" s="901"/>
      <c r="DI33" s="901"/>
      <c r="DJ33" s="901"/>
      <c r="DK33" s="901"/>
      <c r="DL33" s="901"/>
      <c r="DM33" s="901"/>
      <c r="DN33" s="901"/>
      <c r="DO33" s="901"/>
      <c r="DP33" s="901"/>
      <c r="DQ33" s="901"/>
      <c r="DR33" s="901"/>
      <c r="DS33" s="901"/>
      <c r="DT33" s="901"/>
      <c r="DU33" s="901"/>
      <c r="DV33" s="901"/>
      <c r="DW33" s="901"/>
      <c r="DX33" s="901"/>
      <c r="DY33" s="901"/>
      <c r="DZ33" s="901"/>
      <c r="EA33" s="901"/>
      <c r="EB33" s="901"/>
      <c r="EC33" s="901"/>
      <c r="ED33" s="901"/>
      <c r="EE33" s="901"/>
      <c r="EF33" s="901"/>
      <c r="EG33" s="901"/>
      <c r="EH33" s="901"/>
      <c r="EI33" s="901"/>
      <c r="EJ33" s="901"/>
      <c r="EK33" s="901"/>
      <c r="EL33" s="901"/>
      <c r="EM33" s="901"/>
      <c r="EN33" s="901"/>
      <c r="EO33" s="901"/>
      <c r="EP33" s="901"/>
      <c r="EQ33" s="901"/>
      <c r="ER33" s="901"/>
      <c r="ES33" s="901"/>
      <c r="ET33" s="901"/>
      <c r="EU33" s="901"/>
      <c r="EV33" s="901"/>
      <c r="EW33" s="901"/>
      <c r="EX33" s="901"/>
      <c r="EY33" s="901"/>
      <c r="EZ33" s="901"/>
      <c r="FA33" s="901"/>
      <c r="FB33" s="901"/>
      <c r="FC33" s="901"/>
      <c r="FD33" s="901"/>
      <c r="FE33" s="901"/>
      <c r="FF33" s="901"/>
      <c r="FG33" s="901"/>
      <c r="FH33" s="901"/>
      <c r="FI33" s="901"/>
      <c r="FJ33" s="901"/>
      <c r="FK33" s="901"/>
      <c r="FL33" s="901"/>
      <c r="FM33" s="901"/>
      <c r="FN33" s="901"/>
      <c r="FO33" s="901"/>
      <c r="FP33" s="901"/>
      <c r="FQ33" s="901"/>
      <c r="FR33" s="901"/>
      <c r="FS33" s="901"/>
      <c r="FT33" s="901"/>
      <c r="FU33" s="901"/>
      <c r="FV33" s="901"/>
      <c r="FW33" s="901"/>
      <c r="FX33" s="901"/>
      <c r="FY33" s="901"/>
      <c r="FZ33" s="901"/>
      <c r="GA33" s="901"/>
      <c r="GB33" s="901"/>
      <c r="GC33" s="901"/>
      <c r="GD33" s="901"/>
      <c r="GE33" s="901"/>
      <c r="GF33" s="901"/>
      <c r="GG33" s="901"/>
      <c r="GH33" s="901"/>
      <c r="GI33" s="901"/>
      <c r="GJ33" s="901"/>
      <c r="GK33" s="901"/>
      <c r="GL33" s="901"/>
      <c r="GM33" s="901"/>
      <c r="GN33" s="901"/>
      <c r="GO33" s="901"/>
      <c r="GP33" s="901"/>
      <c r="GQ33" s="901"/>
      <c r="GR33" s="901"/>
      <c r="GS33" s="901"/>
      <c r="GT33" s="901"/>
      <c r="GU33" s="901"/>
      <c r="GV33" s="901"/>
      <c r="GW33" s="901"/>
      <c r="GX33" s="901"/>
      <c r="GY33" s="901"/>
      <c r="GZ33" s="901"/>
      <c r="HA33" s="901"/>
      <c r="HB33" s="901"/>
      <c r="HC33" s="901"/>
      <c r="HD33" s="901"/>
      <c r="HE33" s="901"/>
      <c r="HF33" s="901"/>
      <c r="HG33" s="901"/>
      <c r="HH33" s="901"/>
      <c r="HI33" s="901"/>
      <c r="HJ33" s="901"/>
      <c r="HK33" s="901"/>
      <c r="HL33" s="901"/>
      <c r="HM33" s="901"/>
      <c r="HN33" s="901"/>
      <c r="HO33" s="901"/>
      <c r="HP33" s="901"/>
      <c r="HQ33" s="901"/>
      <c r="HR33" s="901"/>
      <c r="HS33" s="901"/>
      <c r="HT33" s="901"/>
      <c r="HU33" s="901"/>
      <c r="HV33" s="901"/>
      <c r="HW33" s="901"/>
      <c r="HX33" s="901"/>
      <c r="HY33" s="901"/>
      <c r="HZ33" s="901"/>
      <c r="IA33" s="901"/>
      <c r="IB33" s="901"/>
      <c r="IC33" s="901"/>
      <c r="ID33" s="901"/>
      <c r="IE33" s="901"/>
      <c r="IF33" s="901"/>
      <c r="IG33" s="901"/>
      <c r="IH33" s="901"/>
      <c r="II33" s="901"/>
      <c r="IJ33" s="901"/>
      <c r="IK33" s="901"/>
      <c r="IL33" s="901"/>
      <c r="IM33" s="901"/>
      <c r="IN33" s="901"/>
      <c r="IO33" s="901"/>
      <c r="IP33" s="901"/>
      <c r="IQ33" s="901"/>
      <c r="IR33" s="901"/>
      <c r="IS33" s="901"/>
      <c r="IT33" s="901"/>
      <c r="IU33" s="901"/>
      <c r="IV33" s="901"/>
      <c r="IW33" s="901"/>
      <c r="IX33" s="901"/>
      <c r="IY33" s="901"/>
      <c r="IZ33" s="901"/>
      <c r="JA33" s="901"/>
      <c r="JB33" s="901"/>
      <c r="JC33" s="901"/>
      <c r="JD33" s="901"/>
      <c r="JE33" s="901"/>
      <c r="JF33" s="901"/>
      <c r="JG33" s="901"/>
      <c r="JH33" s="901"/>
      <c r="JI33" s="901"/>
      <c r="JJ33" s="901"/>
      <c r="JK33" s="901"/>
      <c r="JL33" s="901"/>
      <c r="JM33" s="901"/>
      <c r="JN33" s="901"/>
      <c r="JO33" s="901"/>
      <c r="JP33" s="901"/>
      <c r="JQ33" s="901"/>
      <c r="JR33" s="901"/>
      <c r="JS33" s="901"/>
      <c r="JT33" s="901"/>
      <c r="JU33" s="901"/>
      <c r="JV33" s="901"/>
      <c r="JW33" s="901"/>
      <c r="JX33" s="901"/>
      <c r="JY33" s="901"/>
      <c r="JZ33" s="901"/>
      <c r="KA33" s="901"/>
      <c r="KB33" s="901"/>
      <c r="KC33" s="901"/>
      <c r="KD33" s="901"/>
      <c r="KE33" s="901"/>
      <c r="KF33" s="901"/>
      <c r="KG33" s="901"/>
      <c r="KH33" s="901"/>
      <c r="KI33" s="901"/>
      <c r="KJ33" s="901"/>
      <c r="KK33" s="901"/>
      <c r="KL33" s="901"/>
      <c r="KM33" s="901"/>
      <c r="KN33" s="901"/>
      <c r="KO33" s="901"/>
      <c r="KP33" s="901"/>
      <c r="KQ33" s="901"/>
      <c r="KR33" s="901"/>
      <c r="KS33" s="901"/>
      <c r="KT33" s="901"/>
      <c r="KU33" s="901"/>
      <c r="KV33" s="901"/>
      <c r="KW33" s="901"/>
      <c r="KX33" s="901"/>
      <c r="KY33" s="901"/>
      <c r="KZ33" s="901"/>
      <c r="LA33" s="901"/>
      <c r="LB33" s="901"/>
      <c r="LC33" s="901"/>
      <c r="LD33" s="901"/>
      <c r="LE33" s="901"/>
      <c r="LF33" s="901"/>
      <c r="LG33" s="901"/>
      <c r="LH33" s="901"/>
      <c r="LI33" s="901"/>
      <c r="LJ33" s="901"/>
      <c r="LK33" s="901"/>
      <c r="LL33" s="901"/>
      <c r="LM33" s="901"/>
      <c r="LN33" s="901"/>
      <c r="LO33" s="901"/>
      <c r="LP33" s="901"/>
      <c r="LQ33" s="901"/>
      <c r="LR33" s="901"/>
      <c r="LS33" s="901"/>
      <c r="LT33" s="901"/>
      <c r="LU33" s="901"/>
      <c r="LV33" s="901"/>
      <c r="LW33" s="901"/>
      <c r="LX33" s="901"/>
      <c r="LY33" s="901"/>
      <c r="LZ33" s="901"/>
      <c r="MA33" s="901"/>
      <c r="MB33" s="901"/>
      <c r="MC33" s="901"/>
      <c r="MD33" s="901"/>
      <c r="ME33" s="901"/>
      <c r="MF33" s="901"/>
      <c r="MG33" s="901"/>
      <c r="MH33" s="901"/>
      <c r="MI33" s="901"/>
      <c r="MJ33" s="901"/>
      <c r="MK33" s="901"/>
      <c r="ML33" s="901"/>
      <c r="MM33" s="901"/>
      <c r="MN33" s="901"/>
      <c r="MO33" s="901"/>
      <c r="MP33" s="901"/>
      <c r="MQ33" s="901"/>
      <c r="MR33" s="901"/>
      <c r="MS33" s="901"/>
      <c r="MT33" s="901"/>
      <c r="MU33" s="901"/>
      <c r="MV33" s="901"/>
      <c r="MW33" s="901"/>
      <c r="MX33" s="901"/>
      <c r="MY33" s="901"/>
      <c r="MZ33" s="901"/>
      <c r="NA33" s="901"/>
      <c r="NB33" s="901"/>
      <c r="NC33" s="901"/>
      <c r="ND33" s="901"/>
      <c r="NE33" s="901"/>
      <c r="NF33" s="901"/>
      <c r="NG33" s="901"/>
      <c r="NH33" s="901"/>
      <c r="NI33" s="901"/>
      <c r="NJ33" s="901"/>
      <c r="NK33" s="901"/>
      <c r="NL33" s="901"/>
      <c r="NM33" s="901"/>
      <c r="NN33" s="901"/>
      <c r="NO33" s="901"/>
      <c r="NP33" s="901"/>
      <c r="NQ33" s="901"/>
      <c r="NR33" s="901"/>
      <c r="NS33" s="901"/>
      <c r="NT33" s="901"/>
      <c r="NU33" s="901"/>
      <c r="NV33" s="901"/>
      <c r="NW33" s="901"/>
      <c r="NX33" s="901"/>
      <c r="NY33" s="901"/>
      <c r="NZ33" s="901"/>
      <c r="OA33" s="901"/>
      <c r="OB33" s="901"/>
      <c r="OC33" s="901"/>
      <c r="OD33" s="901"/>
      <c r="OE33" s="901"/>
      <c r="OF33" s="901"/>
      <c r="OG33" s="901"/>
      <c r="OH33" s="901"/>
      <c r="OI33" s="901"/>
      <c r="OJ33" s="901"/>
      <c r="OK33" s="901"/>
      <c r="OL33" s="901"/>
      <c r="OM33" s="901"/>
      <c r="ON33" s="901"/>
      <c r="OO33" s="901"/>
      <c r="OP33" s="901"/>
      <c r="OQ33" s="901"/>
      <c r="OR33" s="901"/>
      <c r="OS33" s="901"/>
      <c r="OT33" s="901"/>
      <c r="OU33" s="901"/>
      <c r="OV33" s="901"/>
      <c r="OW33" s="901"/>
      <c r="OX33" s="901"/>
      <c r="OY33" s="901"/>
      <c r="OZ33" s="901"/>
      <c r="PA33" s="901"/>
      <c r="PB33" s="901"/>
      <c r="PC33" s="901"/>
      <c r="PD33" s="901"/>
      <c r="PE33" s="901"/>
      <c r="PF33" s="901"/>
      <c r="PG33" s="901"/>
      <c r="PH33" s="901"/>
      <c r="PI33" s="901"/>
      <c r="PJ33" s="901"/>
      <c r="PK33" s="901"/>
      <c r="PL33" s="901"/>
      <c r="PM33" s="901"/>
      <c r="PN33" s="901"/>
      <c r="PO33" s="901"/>
      <c r="PP33" s="901"/>
      <c r="PQ33" s="901"/>
      <c r="PR33" s="901"/>
      <c r="PS33" s="901"/>
      <c r="PT33" s="901"/>
      <c r="PU33" s="901"/>
      <c r="PV33" s="901"/>
      <c r="PW33" s="901"/>
      <c r="PX33" s="901"/>
      <c r="PY33" s="901"/>
      <c r="PZ33" s="901"/>
      <c r="QA33" s="901"/>
      <c r="QB33" s="901"/>
      <c r="QC33" s="901"/>
      <c r="QD33" s="901"/>
      <c r="QE33" s="901"/>
      <c r="QF33" s="901"/>
      <c r="QG33" s="901"/>
      <c r="QH33" s="901"/>
      <c r="QI33" s="901"/>
      <c r="QJ33" s="901"/>
      <c r="QK33" s="901"/>
      <c r="QL33" s="901"/>
      <c r="QM33" s="901"/>
      <c r="QN33" s="901"/>
      <c r="QO33" s="901"/>
      <c r="QP33" s="901"/>
      <c r="QQ33" s="901"/>
      <c r="QR33" s="901"/>
      <c r="QS33" s="901"/>
      <c r="QT33" s="901"/>
      <c r="QU33" s="901"/>
      <c r="QV33" s="901"/>
      <c r="QW33" s="901"/>
      <c r="QX33" s="901"/>
      <c r="QY33" s="901"/>
      <c r="QZ33" s="901"/>
      <c r="RA33" s="901"/>
      <c r="RB33" s="901"/>
      <c r="RC33" s="901"/>
      <c r="RD33" s="901"/>
      <c r="RE33" s="901"/>
      <c r="RF33" s="901"/>
      <c r="RG33" s="901"/>
      <c r="RH33" s="901"/>
      <c r="RI33" s="901"/>
      <c r="RJ33" s="901"/>
      <c r="RK33" s="901"/>
      <c r="RL33" s="901"/>
      <c r="RM33" s="901"/>
      <c r="RN33" s="901"/>
      <c r="RO33" s="901"/>
      <c r="RP33" s="901"/>
      <c r="RQ33" s="901"/>
      <c r="RR33" s="901"/>
      <c r="RS33" s="901"/>
      <c r="RT33" s="901"/>
      <c r="RU33" s="901"/>
      <c r="RV33" s="901"/>
      <c r="RW33" s="901"/>
      <c r="RX33" s="901"/>
      <c r="RY33" s="901"/>
      <c r="RZ33" s="901"/>
      <c r="SA33" s="901"/>
      <c r="SB33" s="901"/>
      <c r="SC33" s="901"/>
      <c r="SD33" s="901"/>
      <c r="SE33" s="901"/>
      <c r="SF33" s="901"/>
      <c r="SG33" s="901"/>
      <c r="SH33" s="901"/>
      <c r="SI33" s="901"/>
      <c r="SJ33" s="901"/>
      <c r="SK33" s="901"/>
      <c r="SL33" s="901"/>
      <c r="SM33" s="901"/>
      <c r="SN33" s="901"/>
      <c r="SO33" s="901"/>
      <c r="SP33" s="901"/>
      <c r="SQ33" s="901"/>
      <c r="SR33" s="901"/>
      <c r="SS33" s="901"/>
      <c r="ST33" s="901"/>
      <c r="SU33" s="901"/>
      <c r="SV33" s="901"/>
      <c r="SW33" s="901"/>
      <c r="SX33" s="901"/>
      <c r="SY33" s="901"/>
      <c r="SZ33" s="901"/>
      <c r="TA33" s="901"/>
      <c r="TB33" s="901"/>
      <c r="TC33" s="901"/>
      <c r="TD33" s="901"/>
      <c r="TE33" s="901"/>
      <c r="TF33" s="901"/>
      <c r="TG33" s="901"/>
      <c r="TH33" s="901"/>
      <c r="TI33" s="901"/>
      <c r="TJ33" s="901"/>
      <c r="TK33" s="901"/>
      <c r="TL33" s="901"/>
      <c r="TM33" s="901"/>
      <c r="TN33" s="901"/>
      <c r="TO33" s="901"/>
      <c r="TP33" s="901"/>
      <c r="TQ33" s="901"/>
      <c r="TR33" s="901"/>
      <c r="TS33" s="901"/>
      <c r="TT33" s="901"/>
      <c r="TU33" s="901"/>
      <c r="TV33" s="901"/>
      <c r="TW33" s="901"/>
      <c r="TX33" s="901"/>
      <c r="TY33" s="901"/>
      <c r="TZ33" s="901"/>
      <c r="UA33" s="901"/>
      <c r="UB33" s="901"/>
      <c r="UC33" s="901"/>
      <c r="UD33" s="901"/>
      <c r="UE33" s="901"/>
      <c r="UF33" s="901"/>
      <c r="UG33" s="901"/>
      <c r="UH33" s="901"/>
      <c r="UI33" s="901"/>
      <c r="UJ33" s="901"/>
      <c r="UK33" s="901"/>
      <c r="UL33" s="901"/>
      <c r="UM33" s="901"/>
      <c r="UN33" s="901"/>
      <c r="UO33" s="901"/>
      <c r="UP33" s="901"/>
      <c r="UQ33" s="901"/>
      <c r="UR33" s="901"/>
      <c r="US33" s="901"/>
      <c r="UT33" s="901"/>
      <c r="UU33" s="901"/>
      <c r="UV33" s="901"/>
      <c r="UW33" s="901"/>
      <c r="UX33" s="901"/>
      <c r="UY33" s="901"/>
      <c r="UZ33" s="901"/>
      <c r="VA33" s="901"/>
      <c r="VB33" s="901"/>
      <c r="VC33" s="901"/>
      <c r="VD33" s="901"/>
      <c r="VE33" s="901"/>
      <c r="VF33" s="901"/>
      <c r="VG33" s="901"/>
      <c r="VH33" s="901"/>
      <c r="VI33" s="901"/>
      <c r="VJ33" s="901"/>
      <c r="VK33" s="901"/>
      <c r="VL33" s="901"/>
      <c r="VM33" s="901"/>
      <c r="VN33" s="901"/>
      <c r="VO33" s="901"/>
      <c r="VP33" s="901"/>
      <c r="VQ33" s="901"/>
      <c r="VR33" s="901"/>
      <c r="VS33" s="901"/>
      <c r="VT33" s="901"/>
      <c r="VU33" s="901"/>
      <c r="VV33" s="901"/>
      <c r="VW33" s="901"/>
      <c r="VX33" s="901"/>
      <c r="VY33" s="901"/>
      <c r="VZ33" s="901"/>
      <c r="WA33" s="901"/>
      <c r="WB33" s="901"/>
      <c r="WC33" s="901"/>
      <c r="WD33" s="901"/>
      <c r="WE33" s="901"/>
      <c r="WF33" s="901"/>
      <c r="WG33" s="901"/>
      <c r="WH33" s="901"/>
      <c r="WI33" s="901"/>
      <c r="WJ33" s="901"/>
      <c r="WK33" s="901"/>
      <c r="WL33" s="901"/>
      <c r="WM33" s="901"/>
      <c r="WN33" s="901"/>
      <c r="WO33" s="901"/>
      <c r="WP33" s="901"/>
      <c r="WQ33" s="901"/>
      <c r="WR33" s="901"/>
      <c r="WS33" s="901"/>
      <c r="WT33" s="901"/>
      <c r="WU33" s="901"/>
      <c r="WV33" s="901"/>
      <c r="WW33" s="901"/>
      <c r="WX33" s="901"/>
      <c r="WY33" s="901"/>
      <c r="WZ33" s="901"/>
      <c r="XA33" s="901"/>
      <c r="XB33" s="901"/>
      <c r="XC33" s="901"/>
      <c r="XD33" s="901"/>
      <c r="XE33" s="901"/>
      <c r="XF33" s="901"/>
      <c r="XG33" s="901"/>
      <c r="XH33" s="901"/>
      <c r="XI33" s="901"/>
      <c r="XJ33" s="901"/>
      <c r="XK33" s="901"/>
      <c r="XL33" s="901"/>
      <c r="XM33" s="901"/>
      <c r="XN33" s="901"/>
      <c r="XO33" s="901"/>
      <c r="XP33" s="901"/>
      <c r="XQ33" s="901"/>
      <c r="XR33" s="901"/>
      <c r="XS33" s="901"/>
      <c r="XT33" s="901"/>
      <c r="XU33" s="901"/>
      <c r="XV33" s="901"/>
      <c r="XW33" s="901"/>
      <c r="XX33" s="901"/>
      <c r="XY33" s="901"/>
      <c r="XZ33" s="901"/>
      <c r="YA33" s="901"/>
      <c r="YB33" s="901"/>
      <c r="YC33" s="901"/>
      <c r="YD33" s="901"/>
      <c r="YE33" s="901"/>
      <c r="YF33" s="901"/>
      <c r="YG33" s="901"/>
      <c r="YH33" s="901"/>
      <c r="YI33" s="901"/>
      <c r="YJ33" s="901"/>
      <c r="YK33" s="901"/>
      <c r="YL33" s="901"/>
      <c r="YM33" s="901"/>
      <c r="YN33" s="901"/>
      <c r="YO33" s="901"/>
      <c r="YP33" s="901"/>
      <c r="YQ33" s="901"/>
      <c r="YR33" s="901"/>
      <c r="YS33" s="901"/>
      <c r="YT33" s="901"/>
      <c r="YU33" s="901"/>
      <c r="YV33" s="901"/>
      <c r="YW33" s="901"/>
      <c r="YX33" s="901"/>
      <c r="YY33" s="901"/>
      <c r="YZ33" s="901"/>
      <c r="ZA33" s="901"/>
      <c r="ZB33" s="901"/>
      <c r="ZC33" s="901"/>
      <c r="ZD33" s="901"/>
      <c r="ZE33" s="901"/>
      <c r="ZF33" s="901"/>
      <c r="ZG33" s="901"/>
      <c r="ZH33" s="901"/>
      <c r="ZI33" s="901"/>
      <c r="ZJ33" s="901"/>
      <c r="ZK33" s="901"/>
      <c r="ZL33" s="901"/>
      <c r="ZM33" s="901"/>
      <c r="ZN33" s="901"/>
      <c r="ZO33" s="901"/>
      <c r="ZP33" s="901"/>
      <c r="ZQ33" s="901"/>
      <c r="ZR33" s="901"/>
      <c r="ZS33" s="901"/>
      <c r="ZT33" s="901"/>
      <c r="ZU33" s="901"/>
      <c r="ZV33" s="901"/>
      <c r="ZW33" s="901"/>
      <c r="ZX33" s="901"/>
      <c r="ZY33" s="901"/>
      <c r="ZZ33" s="901"/>
      <c r="AAA33" s="901"/>
      <c r="AAB33" s="901"/>
      <c r="AAC33" s="901"/>
      <c r="AAD33" s="901"/>
      <c r="AAE33" s="901"/>
      <c r="AAF33" s="901"/>
      <c r="AAG33" s="901"/>
      <c r="AAH33" s="901"/>
      <c r="AAI33" s="901"/>
      <c r="AAJ33" s="901"/>
      <c r="AAK33" s="901"/>
      <c r="AAL33" s="901"/>
      <c r="AAM33" s="901"/>
      <c r="AAN33" s="901"/>
      <c r="AAO33" s="901"/>
      <c r="AAP33" s="901"/>
      <c r="AAQ33" s="901"/>
      <c r="AAR33" s="901"/>
      <c r="AAS33" s="901"/>
      <c r="AAT33" s="901"/>
      <c r="AAU33" s="901"/>
      <c r="AAV33" s="901"/>
      <c r="AAW33" s="901"/>
      <c r="AAX33" s="901"/>
      <c r="AAY33" s="901"/>
      <c r="AAZ33" s="901"/>
      <c r="ABA33" s="901"/>
      <c r="ABB33" s="901"/>
      <c r="ABC33" s="901"/>
      <c r="ABD33" s="901"/>
      <c r="ABE33" s="901"/>
      <c r="ABF33" s="901"/>
      <c r="ABG33" s="901"/>
      <c r="ABH33" s="901"/>
      <c r="ABI33" s="901"/>
      <c r="ABJ33" s="901"/>
      <c r="ABK33" s="901"/>
      <c r="ABL33" s="901"/>
      <c r="ABM33" s="901"/>
      <c r="ABN33" s="901"/>
      <c r="ABO33" s="901"/>
      <c r="ABP33" s="901"/>
      <c r="ABQ33" s="901"/>
      <c r="ABR33" s="901"/>
      <c r="ABS33" s="901"/>
      <c r="ABT33" s="901"/>
      <c r="ABU33" s="901"/>
      <c r="ABV33" s="901"/>
      <c r="ABW33" s="901"/>
      <c r="ABX33" s="901"/>
      <c r="ABY33" s="901"/>
      <c r="ABZ33" s="901"/>
      <c r="ACA33" s="901"/>
      <c r="ACB33" s="901"/>
      <c r="ACC33" s="901"/>
      <c r="ACD33" s="901"/>
      <c r="ACE33" s="901"/>
      <c r="ACF33" s="901"/>
      <c r="ACG33" s="901"/>
      <c r="ACH33" s="901"/>
      <c r="ACI33" s="901"/>
      <c r="ACJ33" s="901"/>
      <c r="ACK33" s="901"/>
      <c r="ACL33" s="901"/>
      <c r="ACM33" s="901"/>
      <c r="ACN33" s="901"/>
      <c r="ACO33" s="901"/>
      <c r="ACP33" s="901"/>
      <c r="ACQ33" s="901"/>
      <c r="ACR33" s="901"/>
      <c r="ACS33" s="901"/>
      <c r="ACT33" s="901"/>
      <c r="ACU33" s="901"/>
      <c r="ACV33" s="901"/>
      <c r="ACW33" s="901"/>
      <c r="ACX33" s="901"/>
      <c r="ACY33" s="901"/>
      <c r="ACZ33" s="901"/>
      <c r="ADA33" s="901"/>
      <c r="ADB33" s="901"/>
      <c r="ADC33" s="901"/>
      <c r="ADD33" s="901"/>
      <c r="ADE33" s="901"/>
      <c r="ADF33" s="901"/>
      <c r="ADG33" s="901"/>
      <c r="ADH33" s="901"/>
      <c r="ADI33" s="901"/>
      <c r="ADJ33" s="901"/>
      <c r="ADK33" s="901"/>
      <c r="ADL33" s="901"/>
      <c r="ADM33" s="901"/>
      <c r="ADN33" s="901"/>
      <c r="ADO33" s="901"/>
      <c r="ADP33" s="901"/>
      <c r="ADQ33" s="901"/>
      <c r="ADR33" s="901"/>
      <c r="ADS33" s="901"/>
      <c r="ADT33" s="901"/>
      <c r="ADU33" s="901"/>
      <c r="ADV33" s="901"/>
      <c r="ADW33" s="901"/>
      <c r="ADX33" s="901"/>
      <c r="ADY33" s="901"/>
      <c r="ADZ33" s="901"/>
      <c r="AEA33" s="901"/>
      <c r="AEB33" s="901"/>
      <c r="AEC33" s="901"/>
      <c r="AED33" s="901"/>
      <c r="AEE33" s="901"/>
      <c r="AEF33" s="901"/>
      <c r="AEG33" s="901"/>
      <c r="AEH33" s="901"/>
      <c r="AEI33" s="901"/>
      <c r="AEJ33" s="901"/>
      <c r="AEK33" s="901"/>
      <c r="AEL33" s="901"/>
      <c r="AEM33" s="901"/>
      <c r="AEN33" s="901"/>
      <c r="AEO33" s="901"/>
      <c r="AEP33" s="901"/>
      <c r="AEQ33" s="901"/>
      <c r="AER33" s="901"/>
      <c r="AES33" s="901"/>
      <c r="AET33" s="901"/>
      <c r="AEU33" s="901"/>
      <c r="AEV33" s="901"/>
      <c r="AEW33" s="901"/>
      <c r="AEX33" s="901"/>
      <c r="AEY33" s="901"/>
      <c r="AEZ33" s="901"/>
      <c r="AFA33" s="901"/>
      <c r="AFB33" s="901"/>
      <c r="AFC33" s="901"/>
      <c r="AFD33" s="901"/>
      <c r="AFE33" s="901"/>
      <c r="AFF33" s="901"/>
      <c r="AFG33" s="901"/>
      <c r="AFH33" s="901"/>
      <c r="AFI33" s="901"/>
      <c r="AFJ33" s="901"/>
      <c r="AFK33" s="901"/>
      <c r="AFL33" s="901"/>
      <c r="AFM33" s="901"/>
      <c r="AFN33" s="901"/>
      <c r="AFO33" s="901"/>
      <c r="AFP33" s="901"/>
      <c r="AFQ33" s="901"/>
      <c r="AFR33" s="901"/>
      <c r="AFS33" s="901"/>
      <c r="AFT33" s="901"/>
      <c r="AFU33" s="901"/>
      <c r="AFV33" s="901"/>
      <c r="AFW33" s="901"/>
      <c r="AFX33" s="901"/>
      <c r="AFY33" s="901"/>
      <c r="AFZ33" s="901"/>
      <c r="AGA33" s="901"/>
      <c r="AGB33" s="901"/>
      <c r="AGC33" s="901"/>
      <c r="AGD33" s="901"/>
      <c r="AGE33" s="901"/>
      <c r="AGF33" s="901"/>
      <c r="AGG33" s="901"/>
      <c r="AGH33" s="901"/>
      <c r="AGI33" s="901"/>
      <c r="AGJ33" s="901"/>
      <c r="AGK33" s="901"/>
      <c r="AGL33" s="901"/>
      <c r="AGM33" s="901"/>
      <c r="AGN33" s="901"/>
      <c r="AGO33" s="901"/>
      <c r="AGP33" s="901"/>
      <c r="AGQ33" s="901"/>
      <c r="AGR33" s="901"/>
      <c r="AGS33" s="901"/>
      <c r="AGT33" s="901"/>
      <c r="AGU33" s="901"/>
      <c r="AGV33" s="901"/>
      <c r="AGW33" s="901"/>
      <c r="AGX33" s="901"/>
      <c r="AGY33" s="901"/>
      <c r="AGZ33" s="901"/>
      <c r="AHA33" s="901"/>
      <c r="AHB33" s="901"/>
      <c r="AHC33" s="901"/>
      <c r="AHD33" s="901"/>
      <c r="AHE33" s="901"/>
      <c r="AHF33" s="901"/>
      <c r="AHG33" s="901"/>
      <c r="AHH33" s="901"/>
      <c r="AHI33" s="901"/>
      <c r="AHJ33" s="901"/>
      <c r="AHK33" s="901"/>
      <c r="AHL33" s="901"/>
      <c r="AHM33" s="901"/>
      <c r="AHN33" s="901"/>
      <c r="AHO33" s="901"/>
      <c r="AHP33" s="901"/>
      <c r="AHQ33" s="901"/>
      <c r="AHR33" s="901"/>
      <c r="AHS33" s="901"/>
      <c r="AHT33" s="901"/>
      <c r="AHU33" s="901"/>
      <c r="AHV33" s="901"/>
      <c r="AHW33" s="901"/>
      <c r="AHX33" s="901"/>
      <c r="AHY33" s="901"/>
      <c r="AHZ33" s="901"/>
      <c r="AIA33" s="901"/>
      <c r="AIB33" s="901"/>
      <c r="AIC33" s="901"/>
      <c r="AID33" s="901"/>
      <c r="AIE33" s="901"/>
      <c r="AIF33" s="901"/>
      <c r="AIG33" s="901"/>
      <c r="AIH33" s="901"/>
      <c r="AII33" s="901"/>
      <c r="AIJ33" s="901"/>
      <c r="AIK33" s="901"/>
      <c r="AIL33" s="901"/>
      <c r="AIM33" s="901"/>
      <c r="AIN33" s="901"/>
      <c r="AIO33" s="901"/>
      <c r="AIP33" s="901"/>
      <c r="AIQ33" s="901"/>
      <c r="AIR33" s="901"/>
      <c r="AIS33" s="901"/>
      <c r="AIT33" s="901"/>
      <c r="AIU33" s="901"/>
      <c r="AIV33" s="901"/>
      <c r="AIW33" s="901"/>
      <c r="AIX33" s="901"/>
      <c r="AIY33" s="901"/>
      <c r="AIZ33" s="901"/>
      <c r="AJA33" s="901"/>
      <c r="AJB33" s="901"/>
      <c r="AJC33" s="901"/>
      <c r="AJD33" s="901"/>
      <c r="AJE33" s="901"/>
      <c r="AJF33" s="901"/>
      <c r="AJG33" s="901"/>
      <c r="AJH33" s="901"/>
      <c r="AJI33" s="901"/>
      <c r="AJJ33" s="901"/>
      <c r="AJK33" s="901"/>
      <c r="AJL33" s="901"/>
      <c r="AJM33" s="901"/>
      <c r="AJN33" s="901"/>
      <c r="AJO33" s="901"/>
      <c r="AJP33" s="901"/>
      <c r="AJQ33" s="901"/>
      <c r="AJR33" s="901"/>
      <c r="AJS33" s="901"/>
      <c r="AJT33" s="901"/>
      <c r="AJU33" s="901"/>
      <c r="AJV33" s="901"/>
      <c r="AJW33" s="901"/>
      <c r="AJX33" s="901"/>
      <c r="AJY33" s="901"/>
      <c r="AJZ33" s="901"/>
      <c r="AKA33" s="901"/>
      <c r="AKB33" s="901"/>
      <c r="AKC33" s="901"/>
      <c r="AKD33" s="901"/>
      <c r="AKE33" s="901"/>
      <c r="AKF33" s="901"/>
      <c r="AKG33" s="901"/>
      <c r="AKH33" s="901"/>
      <c r="AKI33" s="901"/>
      <c r="AKJ33" s="901"/>
      <c r="AKK33" s="901"/>
      <c r="AKL33" s="901"/>
      <c r="AKM33" s="901"/>
      <c r="AKN33" s="901"/>
      <c r="AKO33" s="901"/>
      <c r="AKP33" s="901"/>
      <c r="AKQ33" s="901"/>
      <c r="AKR33" s="901"/>
      <c r="AKS33" s="901"/>
      <c r="AKT33" s="901"/>
      <c r="AKU33" s="901"/>
      <c r="AKV33" s="901"/>
      <c r="AKW33" s="901"/>
      <c r="AKX33" s="901"/>
      <c r="AKY33" s="901"/>
      <c r="AKZ33" s="901"/>
      <c r="ALA33" s="901"/>
      <c r="ALB33" s="901"/>
      <c r="ALC33" s="901"/>
      <c r="ALD33" s="901"/>
      <c r="ALE33" s="901"/>
      <c r="ALF33" s="901"/>
      <c r="ALG33" s="901"/>
      <c r="ALH33" s="901"/>
      <c r="ALI33" s="901"/>
      <c r="ALJ33" s="901"/>
      <c r="ALK33" s="901"/>
      <c r="ALL33" s="901"/>
      <c r="ALM33" s="901"/>
      <c r="ALN33" s="901"/>
      <c r="ALO33" s="901"/>
      <c r="ALP33" s="901"/>
      <c r="ALQ33" s="901"/>
      <c r="ALR33" s="901"/>
      <c r="ALS33" s="901"/>
      <c r="ALT33" s="901"/>
      <c r="ALU33" s="901"/>
      <c r="ALV33" s="901"/>
      <c r="ALW33" s="901"/>
      <c r="ALX33" s="901"/>
      <c r="ALY33" s="901"/>
      <c r="ALZ33" s="901"/>
      <c r="AMA33" s="901"/>
      <c r="AMB33" s="901"/>
      <c r="AMC33" s="901"/>
      <c r="AMD33" s="901"/>
      <c r="AME33" s="901"/>
      <c r="AMF33" s="901"/>
      <c r="AMG33" s="901"/>
      <c r="AMH33" s="901"/>
      <c r="AMI33" s="901"/>
      <c r="AMJ33" s="901"/>
      <c r="AMK33" s="901"/>
      <c r="AML33" s="901"/>
    </row>
    <row r="34" spans="1:1026">
      <c r="A34" s="80"/>
      <c r="B34" s="14"/>
      <c r="C34" s="14"/>
      <c r="D34" s="14"/>
      <c r="E34" s="15"/>
      <c r="F34" s="14"/>
      <c r="G34" s="81"/>
      <c r="H34" s="82"/>
      <c r="I34" s="211"/>
      <c r="J34" s="212"/>
      <c r="K34" s="211"/>
      <c r="L34" s="212"/>
      <c r="M34" s="95"/>
      <c r="N34" s="84"/>
      <c r="O34" s="213"/>
      <c r="P34" s="214"/>
      <c r="Q34" s="213"/>
      <c r="R34" s="214"/>
      <c r="S34" s="215"/>
      <c r="T34" s="215"/>
      <c r="U34" s="215"/>
      <c r="V34" s="215"/>
      <c r="W34" s="216"/>
      <c r="X34" s="217"/>
      <c r="Y34" s="218"/>
      <c r="Z34" s="219"/>
      <c r="AA34" s="220"/>
      <c r="AB34" s="219"/>
      <c r="AC34" s="220"/>
      <c r="AD34" s="219"/>
      <c r="AE34" s="220"/>
      <c r="AF34" s="219"/>
      <c r="AG34" s="750"/>
      <c r="AH34" s="219"/>
      <c r="AI34" s="219"/>
      <c r="AJ34" s="219"/>
      <c r="AK34" s="699"/>
      <c r="AM34" s="106"/>
      <c r="AN34" s="106"/>
      <c r="AO34" s="221"/>
    </row>
    <row r="35" spans="1:1026">
      <c r="A35" s="222"/>
      <c r="B35" s="678"/>
      <c r="C35" s="678"/>
      <c r="D35" s="678"/>
      <c r="E35" s="681"/>
      <c r="F35" s="678"/>
      <c r="G35" s="223"/>
      <c r="H35" s="224" t="s">
        <v>106</v>
      </c>
      <c r="I35" s="225">
        <f>I17+I19+I20+I21+I31+I33</f>
        <v>1169281</v>
      </c>
      <c r="J35" s="226">
        <f>J17+J19+J20+J21+J31+J33</f>
        <v>978029.3</v>
      </c>
      <c r="K35" s="225">
        <f>SUM(K17,K31,K33)</f>
        <v>1054480</v>
      </c>
      <c r="L35" s="226">
        <f>L17+L19+L20+L21+L31+L33</f>
        <v>888672.5</v>
      </c>
      <c r="M35" s="225">
        <f>M17+M31+M33</f>
        <v>1047758.4</v>
      </c>
      <c r="N35" s="226">
        <f>N17+N31+N33</f>
        <v>1013043.0499999999</v>
      </c>
      <c r="O35" s="225">
        <f>SUM(O17,O31,O33)</f>
        <v>1068830</v>
      </c>
      <c r="P35" s="227">
        <f>P17+P19+P20+P21+P31+P33</f>
        <v>770205.3</v>
      </c>
      <c r="Q35" s="225">
        <v>1090973.1299999999</v>
      </c>
      <c r="R35" s="227">
        <f>R17+R19+R20+R21+R31+R33</f>
        <v>899216.31</v>
      </c>
      <c r="S35" s="228">
        <f>SUM(S17,S31,S33)</f>
        <v>1185660</v>
      </c>
      <c r="T35" s="228">
        <f>SUM(T17,T31,T33)</f>
        <v>1186460</v>
      </c>
      <c r="U35" s="228"/>
      <c r="V35" s="228">
        <f t="shared" ref="V35:AE35" si="11">SUM(V17,V31,V33)</f>
        <v>15598080</v>
      </c>
      <c r="W35" s="229">
        <f t="shared" si="11"/>
        <v>987597.29</v>
      </c>
      <c r="X35" s="230">
        <f t="shared" si="11"/>
        <v>1202190</v>
      </c>
      <c r="Y35" s="231">
        <f t="shared" si="11"/>
        <v>457020.73</v>
      </c>
      <c r="Z35" s="230">
        <f t="shared" si="11"/>
        <v>1256260</v>
      </c>
      <c r="AA35" s="230">
        <f t="shared" ref="AA35" si="12">SUM(AA17,AA31,AA33)</f>
        <v>1164221.8500000001</v>
      </c>
      <c r="AB35" s="230">
        <f t="shared" si="11"/>
        <v>1378190</v>
      </c>
      <c r="AC35" s="232">
        <f t="shared" ref="AC35" si="13">SUM(AC17,AC31,AC33)</f>
        <v>1164343.0999999999</v>
      </c>
      <c r="AD35" s="230">
        <f t="shared" si="11"/>
        <v>1441070</v>
      </c>
      <c r="AE35" s="230">
        <f t="shared" si="11"/>
        <v>1251311.67</v>
      </c>
      <c r="AF35" s="230">
        <f>SUM(AF17,AF31,AF33)</f>
        <v>1551940</v>
      </c>
      <c r="AG35" s="230">
        <f t="shared" ref="AG35" si="14">SUM(AG17,AG31,AG33)</f>
        <v>578039.18999999994</v>
      </c>
      <c r="AH35" s="230">
        <f>SUM(AH17,AH31,AH33)</f>
        <v>1564081.24</v>
      </c>
      <c r="AI35" s="230">
        <f>SUM(AI17,AI31,AI33)</f>
        <v>1601066</v>
      </c>
      <c r="AJ35" s="230">
        <f>SUM(AJ17,AJ31,AJ33)</f>
        <v>1598102</v>
      </c>
      <c r="AK35" s="708"/>
      <c r="AM35" s="106"/>
      <c r="AN35" s="106"/>
      <c r="AP35" s="234"/>
      <c r="AQ35" s="65"/>
      <c r="AR35" s="65"/>
      <c r="AS35" s="65"/>
      <c r="AT35" s="65"/>
      <c r="AU35" s="65"/>
      <c r="AV35" s="65"/>
      <c r="AW35" s="65"/>
    </row>
    <row r="36" spans="1:1026">
      <c r="A36" s="235">
        <v>5</v>
      </c>
      <c r="B36" s="682" t="s">
        <v>16</v>
      </c>
      <c r="C36" s="682">
        <v>0</v>
      </c>
      <c r="D36" s="682" t="s">
        <v>16</v>
      </c>
      <c r="E36" s="683" t="s">
        <v>70</v>
      </c>
      <c r="F36" s="682" t="s">
        <v>16</v>
      </c>
      <c r="G36" s="236" t="s">
        <v>70</v>
      </c>
      <c r="H36" s="55" t="s">
        <v>22</v>
      </c>
      <c r="I36" s="56"/>
      <c r="J36" s="57"/>
      <c r="K36" s="56"/>
      <c r="L36" s="57"/>
      <c r="M36" s="57"/>
      <c r="N36" s="57"/>
      <c r="O36" s="58"/>
      <c r="P36" s="59"/>
      <c r="Q36" s="58"/>
      <c r="R36" s="59"/>
      <c r="S36" s="60"/>
      <c r="T36" s="60"/>
      <c r="U36" s="60"/>
      <c r="V36" s="60"/>
      <c r="W36" s="61"/>
      <c r="X36" s="62"/>
      <c r="Y36" s="63"/>
      <c r="Z36" s="64"/>
      <c r="AA36" s="64"/>
      <c r="AB36" s="64"/>
      <c r="AC36" s="237"/>
      <c r="AD36" s="64"/>
      <c r="AE36" s="237"/>
      <c r="AF36" s="64"/>
      <c r="AG36" s="742"/>
      <c r="AH36" s="64"/>
      <c r="AI36" s="64"/>
      <c r="AJ36" s="64"/>
      <c r="AK36" s="697"/>
      <c r="AM36" s="106"/>
      <c r="AN36" s="106"/>
      <c r="AP36" s="106"/>
      <c r="AQ36" s="65"/>
      <c r="AR36" s="65"/>
      <c r="AS36" s="65"/>
      <c r="AT36" s="65"/>
      <c r="AU36" s="65"/>
      <c r="AV36" s="65"/>
      <c r="AW36" s="65"/>
    </row>
    <row r="37" spans="1:1026">
      <c r="A37" s="235">
        <v>5</v>
      </c>
      <c r="B37" s="682" t="s">
        <v>16</v>
      </c>
      <c r="C37" s="682">
        <v>1</v>
      </c>
      <c r="D37" s="682" t="s">
        <v>16</v>
      </c>
      <c r="E37" s="683" t="s">
        <v>70</v>
      </c>
      <c r="F37" s="682" t="s">
        <v>16</v>
      </c>
      <c r="G37" s="236" t="s">
        <v>70</v>
      </c>
      <c r="H37" s="55" t="s">
        <v>26</v>
      </c>
      <c r="I37" s="56"/>
      <c r="J37" s="57"/>
      <c r="K37" s="56"/>
      <c r="L37" s="57"/>
      <c r="M37" s="57"/>
      <c r="N37" s="57"/>
      <c r="O37" s="58"/>
      <c r="P37" s="59"/>
      <c r="Q37" s="58"/>
      <c r="R37" s="59"/>
      <c r="S37" s="60"/>
      <c r="T37" s="60"/>
      <c r="U37" s="60"/>
      <c r="V37" s="60"/>
      <c r="W37" s="61"/>
      <c r="X37" s="62"/>
      <c r="Y37" s="63"/>
      <c r="Z37" s="64"/>
      <c r="AA37" s="64"/>
      <c r="AB37" s="64"/>
      <c r="AC37" s="237"/>
      <c r="AD37" s="64"/>
      <c r="AE37" s="237"/>
      <c r="AF37" s="64"/>
      <c r="AG37" s="742"/>
      <c r="AH37" s="64"/>
      <c r="AI37" s="64"/>
      <c r="AJ37" s="64"/>
      <c r="AK37" s="697"/>
      <c r="AN37" s="106"/>
      <c r="AO37" s="65"/>
      <c r="AP37" s="65"/>
      <c r="AQ37" s="65"/>
      <c r="AR37" s="65"/>
      <c r="AS37" s="65"/>
      <c r="AT37" s="65"/>
      <c r="AU37" s="65"/>
      <c r="AV37" s="65"/>
      <c r="AW37" s="65"/>
    </row>
    <row r="38" spans="1:1026">
      <c r="A38" s="66">
        <v>5</v>
      </c>
      <c r="B38" s="67" t="s">
        <v>16</v>
      </c>
      <c r="C38" s="67">
        <v>1</v>
      </c>
      <c r="D38" s="67" t="s">
        <v>16</v>
      </c>
      <c r="E38" s="68" t="s">
        <v>81</v>
      </c>
      <c r="F38" s="67" t="s">
        <v>16</v>
      </c>
      <c r="G38" s="69" t="s">
        <v>70</v>
      </c>
      <c r="H38" s="238" t="s">
        <v>107</v>
      </c>
      <c r="I38" s="239"/>
      <c r="J38" s="240"/>
      <c r="K38" s="239"/>
      <c r="L38" s="240"/>
      <c r="M38" s="240"/>
      <c r="N38" s="240"/>
      <c r="O38" s="241"/>
      <c r="P38" s="242"/>
      <c r="Q38" s="241"/>
      <c r="R38" s="242"/>
      <c r="S38" s="243"/>
      <c r="T38" s="243"/>
      <c r="U38" s="243"/>
      <c r="V38" s="243"/>
      <c r="W38" s="244"/>
      <c r="X38" s="245"/>
      <c r="Y38" s="246"/>
      <c r="Z38" s="247"/>
      <c r="AA38" s="176"/>
      <c r="AB38" s="247"/>
      <c r="AC38" s="248"/>
      <c r="AD38" s="247"/>
      <c r="AE38" s="248"/>
      <c r="AF38" s="247"/>
      <c r="AG38" s="749"/>
      <c r="AH38" s="247"/>
      <c r="AI38" s="247"/>
      <c r="AJ38" s="247"/>
      <c r="AK38" s="703"/>
      <c r="AM38" s="106"/>
      <c r="AN38" s="106"/>
      <c r="AP38" s="234"/>
    </row>
    <row r="39" spans="1:1026">
      <c r="A39" s="249">
        <v>5</v>
      </c>
      <c r="B39" s="14" t="s">
        <v>16</v>
      </c>
      <c r="C39" s="14">
        <v>1</v>
      </c>
      <c r="D39" s="14" t="s">
        <v>16</v>
      </c>
      <c r="E39" s="15" t="s">
        <v>81</v>
      </c>
      <c r="F39" s="14" t="s">
        <v>16</v>
      </c>
      <c r="G39" s="81" t="s">
        <v>81</v>
      </c>
      <c r="H39" s="250" t="s">
        <v>108</v>
      </c>
      <c r="I39" s="83">
        <v>2500</v>
      </c>
      <c r="J39" s="84">
        <v>2543.15</v>
      </c>
      <c r="K39" s="83">
        <v>3000</v>
      </c>
      <c r="L39" s="84">
        <v>1464.26</v>
      </c>
      <c r="M39" s="83">
        <v>3000</v>
      </c>
      <c r="N39" s="84">
        <v>2250.63</v>
      </c>
      <c r="O39" s="85">
        <v>1800</v>
      </c>
      <c r="P39" s="86">
        <v>117.15</v>
      </c>
      <c r="Q39" s="85">
        <v>900</v>
      </c>
      <c r="R39" s="86">
        <v>197.14</v>
      </c>
      <c r="S39" s="87">
        <v>1800</v>
      </c>
      <c r="T39" s="87">
        <v>1800</v>
      </c>
      <c r="U39" s="87">
        <v>-71.930000000000007</v>
      </c>
      <c r="V39" s="87">
        <v>1800</v>
      </c>
      <c r="W39" s="88">
        <v>-71.930000000000007</v>
      </c>
      <c r="X39" s="89">
        <v>1000</v>
      </c>
      <c r="Y39" s="90">
        <v>-256.5</v>
      </c>
      <c r="Z39" s="91">
        <v>1000</v>
      </c>
      <c r="AA39" s="92">
        <v>-715.91</v>
      </c>
      <c r="AB39" s="91">
        <v>1500</v>
      </c>
      <c r="AC39" s="92">
        <v>-715.91</v>
      </c>
      <c r="AD39" s="91">
        <v>1500</v>
      </c>
      <c r="AE39" s="92">
        <v>-1435.48</v>
      </c>
      <c r="AF39" s="91">
        <v>1500</v>
      </c>
      <c r="AG39" s="744">
        <v>-1124.93</v>
      </c>
      <c r="AH39" s="91">
        <v>1500</v>
      </c>
      <c r="AI39" s="91">
        <v>1500</v>
      </c>
      <c r="AJ39" s="91">
        <v>1500</v>
      </c>
      <c r="AK39" s="707"/>
      <c r="AM39" s="106"/>
      <c r="AN39" s="106"/>
      <c r="AP39" s="106"/>
    </row>
    <row r="40" spans="1:1026" s="902" customFormat="1" ht="25.5">
      <c r="A40" s="882">
        <v>5</v>
      </c>
      <c r="B40" s="883" t="s">
        <v>16</v>
      </c>
      <c r="C40" s="883">
        <v>1</v>
      </c>
      <c r="D40" s="883" t="s">
        <v>16</v>
      </c>
      <c r="E40" s="884" t="s">
        <v>81</v>
      </c>
      <c r="F40" s="883" t="s">
        <v>16</v>
      </c>
      <c r="G40" s="885" t="s">
        <v>86</v>
      </c>
      <c r="H40" s="886" t="s">
        <v>109</v>
      </c>
      <c r="I40" s="992">
        <v>45400</v>
      </c>
      <c r="J40" s="927">
        <v>44016.07</v>
      </c>
      <c r="K40" s="926">
        <v>45400</v>
      </c>
      <c r="L40" s="927">
        <v>34497.42</v>
      </c>
      <c r="M40" s="926">
        <v>45400</v>
      </c>
      <c r="N40" s="927">
        <v>45510.32</v>
      </c>
      <c r="O40" s="929">
        <v>45400</v>
      </c>
      <c r="P40" s="930">
        <v>27171.62</v>
      </c>
      <c r="Q40" s="929">
        <v>45400</v>
      </c>
      <c r="R40" s="930">
        <v>38633.269999999997</v>
      </c>
      <c r="S40" s="931">
        <v>45400</v>
      </c>
      <c r="T40" s="931">
        <v>45400</v>
      </c>
      <c r="U40" s="931">
        <v>-22429.97</v>
      </c>
      <c r="V40" s="931">
        <f>ROUNDUP(1495*4+1993.33*7+2491.67*6,-2)</f>
        <v>34900</v>
      </c>
      <c r="W40" s="932">
        <v>-28576.080000000002</v>
      </c>
      <c r="X40" s="933">
        <f>ROUNDUP(T40/23*26.3,-2)</f>
        <v>52000</v>
      </c>
      <c r="Y40" s="934">
        <v>-15508.15</v>
      </c>
      <c r="Z40" s="935">
        <f>ROUNDUP(27.6*52/12*13*25,-2)</f>
        <v>38900</v>
      </c>
      <c r="AA40" s="936">
        <v>-37648.300000000003</v>
      </c>
      <c r="AB40" s="935">
        <f>ROUNDUP(27.6*52/12*13*40,-2)</f>
        <v>62200</v>
      </c>
      <c r="AC40" s="936">
        <v>-37648.300000000003</v>
      </c>
      <c r="AD40" s="935">
        <f>ROUNDUP(27.6*52/12*13*40-1640,-2)</f>
        <v>60600</v>
      </c>
      <c r="AE40" s="936">
        <v>-61121.39</v>
      </c>
      <c r="AF40" s="935">
        <f>ROUNDUP(27.6*52/12*13*40,-2)</f>
        <v>62200</v>
      </c>
      <c r="AG40" s="937">
        <v>-32765.14</v>
      </c>
      <c r="AH40" s="935">
        <f>ROUNDUP(27.6*52/12*13*40,-2) +8070 + 2250</f>
        <v>72520</v>
      </c>
      <c r="AI40" s="935">
        <f>ROUNDUP(27.6*52/12*13*40,-2) +8070 + 12*538</f>
        <v>76726</v>
      </c>
      <c r="AJ40" s="935">
        <v>76726</v>
      </c>
      <c r="AK40" s="912" t="s">
        <v>505</v>
      </c>
      <c r="AL40" s="899"/>
      <c r="AM40" s="900"/>
      <c r="AN40" s="900"/>
      <c r="AO40" s="901"/>
      <c r="AP40" s="901"/>
      <c r="AQ40" s="901"/>
      <c r="AR40" s="901"/>
      <c r="AS40" s="901"/>
      <c r="AT40" s="901"/>
      <c r="AU40" s="901"/>
      <c r="AV40" s="901"/>
      <c r="AW40" s="901"/>
      <c r="AX40" s="901"/>
      <c r="AY40" s="901"/>
      <c r="AZ40" s="901"/>
      <c r="BA40" s="901"/>
      <c r="BB40" s="901"/>
      <c r="BC40" s="901"/>
      <c r="BD40" s="901"/>
      <c r="BE40" s="901"/>
      <c r="BF40" s="901"/>
      <c r="BG40" s="901"/>
      <c r="BH40" s="901"/>
      <c r="BI40" s="901"/>
      <c r="BJ40" s="901"/>
      <c r="BK40" s="901"/>
      <c r="BL40" s="901"/>
      <c r="BM40" s="901"/>
      <c r="BN40" s="901"/>
      <c r="BO40" s="901"/>
      <c r="BP40" s="901"/>
      <c r="BQ40" s="901"/>
      <c r="BR40" s="901"/>
      <c r="BS40" s="901"/>
      <c r="BT40" s="901"/>
      <c r="BU40" s="901"/>
      <c r="BV40" s="901"/>
      <c r="BW40" s="901"/>
      <c r="BX40" s="901"/>
      <c r="BY40" s="901"/>
      <c r="BZ40" s="901"/>
      <c r="CA40" s="901"/>
      <c r="CB40" s="901"/>
      <c r="CC40" s="901"/>
      <c r="CD40" s="901"/>
      <c r="CE40" s="901"/>
      <c r="CF40" s="901"/>
      <c r="CG40" s="901"/>
      <c r="CH40" s="901"/>
      <c r="CI40" s="901"/>
      <c r="CJ40" s="901"/>
      <c r="CK40" s="901"/>
      <c r="CL40" s="901"/>
      <c r="CM40" s="901"/>
      <c r="CN40" s="901"/>
      <c r="CO40" s="901"/>
      <c r="CP40" s="901"/>
      <c r="CQ40" s="901"/>
      <c r="CR40" s="901"/>
      <c r="CS40" s="901"/>
      <c r="CT40" s="901"/>
      <c r="CU40" s="901"/>
      <c r="CV40" s="901"/>
      <c r="CW40" s="901"/>
      <c r="CX40" s="901"/>
      <c r="CY40" s="901"/>
      <c r="CZ40" s="901"/>
      <c r="DA40" s="901"/>
      <c r="DB40" s="901"/>
      <c r="DC40" s="901"/>
      <c r="DD40" s="901"/>
      <c r="DE40" s="901"/>
      <c r="DF40" s="901"/>
      <c r="DG40" s="901"/>
      <c r="DH40" s="901"/>
      <c r="DI40" s="901"/>
      <c r="DJ40" s="901"/>
      <c r="DK40" s="901"/>
      <c r="DL40" s="901"/>
      <c r="DM40" s="901"/>
      <c r="DN40" s="901"/>
      <c r="DO40" s="901"/>
      <c r="DP40" s="901"/>
      <c r="DQ40" s="901"/>
      <c r="DR40" s="901"/>
      <c r="DS40" s="901"/>
      <c r="DT40" s="901"/>
      <c r="DU40" s="901"/>
      <c r="DV40" s="901"/>
      <c r="DW40" s="901"/>
      <c r="DX40" s="901"/>
      <c r="DY40" s="901"/>
      <c r="DZ40" s="901"/>
      <c r="EA40" s="901"/>
      <c r="EB40" s="901"/>
      <c r="EC40" s="901"/>
      <c r="ED40" s="901"/>
      <c r="EE40" s="901"/>
      <c r="EF40" s="901"/>
      <c r="EG40" s="901"/>
      <c r="EH40" s="901"/>
      <c r="EI40" s="901"/>
      <c r="EJ40" s="901"/>
      <c r="EK40" s="901"/>
      <c r="EL40" s="901"/>
      <c r="EM40" s="901"/>
      <c r="EN40" s="901"/>
      <c r="EO40" s="901"/>
      <c r="EP40" s="901"/>
      <c r="EQ40" s="901"/>
      <c r="ER40" s="901"/>
      <c r="ES40" s="901"/>
      <c r="ET40" s="901"/>
      <c r="EU40" s="901"/>
      <c r="EV40" s="901"/>
      <c r="EW40" s="901"/>
      <c r="EX40" s="901"/>
      <c r="EY40" s="901"/>
      <c r="EZ40" s="901"/>
      <c r="FA40" s="901"/>
      <c r="FB40" s="901"/>
      <c r="FC40" s="901"/>
      <c r="FD40" s="901"/>
      <c r="FE40" s="901"/>
      <c r="FF40" s="901"/>
      <c r="FG40" s="901"/>
      <c r="FH40" s="901"/>
      <c r="FI40" s="901"/>
      <c r="FJ40" s="901"/>
      <c r="FK40" s="901"/>
      <c r="FL40" s="901"/>
      <c r="FM40" s="901"/>
      <c r="FN40" s="901"/>
      <c r="FO40" s="901"/>
      <c r="FP40" s="901"/>
      <c r="FQ40" s="901"/>
      <c r="FR40" s="901"/>
      <c r="FS40" s="901"/>
      <c r="FT40" s="901"/>
      <c r="FU40" s="901"/>
      <c r="FV40" s="901"/>
      <c r="FW40" s="901"/>
      <c r="FX40" s="901"/>
      <c r="FY40" s="901"/>
      <c r="FZ40" s="901"/>
      <c r="GA40" s="901"/>
      <c r="GB40" s="901"/>
      <c r="GC40" s="901"/>
      <c r="GD40" s="901"/>
      <c r="GE40" s="901"/>
      <c r="GF40" s="901"/>
      <c r="GG40" s="901"/>
      <c r="GH40" s="901"/>
      <c r="GI40" s="901"/>
      <c r="GJ40" s="901"/>
      <c r="GK40" s="901"/>
      <c r="GL40" s="901"/>
      <c r="GM40" s="901"/>
      <c r="GN40" s="901"/>
      <c r="GO40" s="901"/>
      <c r="GP40" s="901"/>
      <c r="GQ40" s="901"/>
      <c r="GR40" s="901"/>
      <c r="GS40" s="901"/>
      <c r="GT40" s="901"/>
      <c r="GU40" s="901"/>
      <c r="GV40" s="901"/>
      <c r="GW40" s="901"/>
      <c r="GX40" s="901"/>
      <c r="GY40" s="901"/>
      <c r="GZ40" s="901"/>
      <c r="HA40" s="901"/>
      <c r="HB40" s="901"/>
      <c r="HC40" s="901"/>
      <c r="HD40" s="901"/>
      <c r="HE40" s="901"/>
      <c r="HF40" s="901"/>
      <c r="HG40" s="901"/>
      <c r="HH40" s="901"/>
      <c r="HI40" s="901"/>
      <c r="HJ40" s="901"/>
      <c r="HK40" s="901"/>
      <c r="HL40" s="901"/>
      <c r="HM40" s="901"/>
      <c r="HN40" s="901"/>
      <c r="HO40" s="901"/>
      <c r="HP40" s="901"/>
      <c r="HQ40" s="901"/>
      <c r="HR40" s="901"/>
      <c r="HS40" s="901"/>
      <c r="HT40" s="901"/>
      <c r="HU40" s="901"/>
      <c r="HV40" s="901"/>
      <c r="HW40" s="901"/>
      <c r="HX40" s="901"/>
      <c r="HY40" s="901"/>
      <c r="HZ40" s="901"/>
      <c r="IA40" s="901"/>
      <c r="IB40" s="901"/>
      <c r="IC40" s="901"/>
      <c r="ID40" s="901"/>
      <c r="IE40" s="901"/>
      <c r="IF40" s="901"/>
      <c r="IG40" s="901"/>
      <c r="IH40" s="901"/>
      <c r="II40" s="901"/>
      <c r="IJ40" s="901"/>
      <c r="IK40" s="901"/>
      <c r="IL40" s="901"/>
      <c r="IM40" s="901"/>
      <c r="IN40" s="901"/>
      <c r="IO40" s="901"/>
      <c r="IP40" s="901"/>
      <c r="IQ40" s="901"/>
      <c r="IR40" s="901"/>
      <c r="IS40" s="901"/>
      <c r="IT40" s="901"/>
      <c r="IU40" s="901"/>
      <c r="IV40" s="901"/>
      <c r="IW40" s="901"/>
      <c r="IX40" s="901"/>
      <c r="IY40" s="901"/>
      <c r="IZ40" s="901"/>
      <c r="JA40" s="901"/>
      <c r="JB40" s="901"/>
      <c r="JC40" s="901"/>
      <c r="JD40" s="901"/>
      <c r="JE40" s="901"/>
      <c r="JF40" s="901"/>
      <c r="JG40" s="901"/>
      <c r="JH40" s="901"/>
      <c r="JI40" s="901"/>
      <c r="JJ40" s="901"/>
      <c r="JK40" s="901"/>
      <c r="JL40" s="901"/>
      <c r="JM40" s="901"/>
      <c r="JN40" s="901"/>
      <c r="JO40" s="901"/>
      <c r="JP40" s="901"/>
      <c r="JQ40" s="901"/>
      <c r="JR40" s="901"/>
      <c r="JS40" s="901"/>
      <c r="JT40" s="901"/>
      <c r="JU40" s="901"/>
      <c r="JV40" s="901"/>
      <c r="JW40" s="901"/>
      <c r="JX40" s="901"/>
      <c r="JY40" s="901"/>
      <c r="JZ40" s="901"/>
      <c r="KA40" s="901"/>
      <c r="KB40" s="901"/>
      <c r="KC40" s="901"/>
      <c r="KD40" s="901"/>
      <c r="KE40" s="901"/>
      <c r="KF40" s="901"/>
      <c r="KG40" s="901"/>
      <c r="KH40" s="901"/>
      <c r="KI40" s="901"/>
      <c r="KJ40" s="901"/>
      <c r="KK40" s="901"/>
      <c r="KL40" s="901"/>
      <c r="KM40" s="901"/>
      <c r="KN40" s="901"/>
      <c r="KO40" s="901"/>
      <c r="KP40" s="901"/>
      <c r="KQ40" s="901"/>
      <c r="KR40" s="901"/>
      <c r="KS40" s="901"/>
      <c r="KT40" s="901"/>
      <c r="KU40" s="901"/>
      <c r="KV40" s="901"/>
      <c r="KW40" s="901"/>
      <c r="KX40" s="901"/>
      <c r="KY40" s="901"/>
      <c r="KZ40" s="901"/>
      <c r="LA40" s="901"/>
      <c r="LB40" s="901"/>
      <c r="LC40" s="901"/>
      <c r="LD40" s="901"/>
      <c r="LE40" s="901"/>
      <c r="LF40" s="901"/>
      <c r="LG40" s="901"/>
      <c r="LH40" s="901"/>
      <c r="LI40" s="901"/>
      <c r="LJ40" s="901"/>
      <c r="LK40" s="901"/>
      <c r="LL40" s="901"/>
      <c r="LM40" s="901"/>
      <c r="LN40" s="901"/>
      <c r="LO40" s="901"/>
      <c r="LP40" s="901"/>
      <c r="LQ40" s="901"/>
      <c r="LR40" s="901"/>
      <c r="LS40" s="901"/>
      <c r="LT40" s="901"/>
      <c r="LU40" s="901"/>
      <c r="LV40" s="901"/>
      <c r="LW40" s="901"/>
      <c r="LX40" s="901"/>
      <c r="LY40" s="901"/>
      <c r="LZ40" s="901"/>
      <c r="MA40" s="901"/>
      <c r="MB40" s="901"/>
      <c r="MC40" s="901"/>
      <c r="MD40" s="901"/>
      <c r="ME40" s="901"/>
      <c r="MF40" s="901"/>
      <c r="MG40" s="901"/>
      <c r="MH40" s="901"/>
      <c r="MI40" s="901"/>
      <c r="MJ40" s="901"/>
      <c r="MK40" s="901"/>
      <c r="ML40" s="901"/>
      <c r="MM40" s="901"/>
      <c r="MN40" s="901"/>
      <c r="MO40" s="901"/>
      <c r="MP40" s="901"/>
      <c r="MQ40" s="901"/>
      <c r="MR40" s="901"/>
      <c r="MS40" s="901"/>
      <c r="MT40" s="901"/>
      <c r="MU40" s="901"/>
      <c r="MV40" s="901"/>
      <c r="MW40" s="901"/>
      <c r="MX40" s="901"/>
      <c r="MY40" s="901"/>
      <c r="MZ40" s="901"/>
      <c r="NA40" s="901"/>
      <c r="NB40" s="901"/>
      <c r="NC40" s="901"/>
      <c r="ND40" s="901"/>
      <c r="NE40" s="901"/>
      <c r="NF40" s="901"/>
      <c r="NG40" s="901"/>
      <c r="NH40" s="901"/>
      <c r="NI40" s="901"/>
      <c r="NJ40" s="901"/>
      <c r="NK40" s="901"/>
      <c r="NL40" s="901"/>
      <c r="NM40" s="901"/>
      <c r="NN40" s="901"/>
      <c r="NO40" s="901"/>
      <c r="NP40" s="901"/>
      <c r="NQ40" s="901"/>
      <c r="NR40" s="901"/>
      <c r="NS40" s="901"/>
      <c r="NT40" s="901"/>
      <c r="NU40" s="901"/>
      <c r="NV40" s="901"/>
      <c r="NW40" s="901"/>
      <c r="NX40" s="901"/>
      <c r="NY40" s="901"/>
      <c r="NZ40" s="901"/>
      <c r="OA40" s="901"/>
      <c r="OB40" s="901"/>
      <c r="OC40" s="901"/>
      <c r="OD40" s="901"/>
      <c r="OE40" s="901"/>
      <c r="OF40" s="901"/>
      <c r="OG40" s="901"/>
      <c r="OH40" s="901"/>
      <c r="OI40" s="901"/>
      <c r="OJ40" s="901"/>
      <c r="OK40" s="901"/>
      <c r="OL40" s="901"/>
      <c r="OM40" s="901"/>
      <c r="ON40" s="901"/>
      <c r="OO40" s="901"/>
      <c r="OP40" s="901"/>
      <c r="OQ40" s="901"/>
      <c r="OR40" s="901"/>
      <c r="OS40" s="901"/>
      <c r="OT40" s="901"/>
      <c r="OU40" s="901"/>
      <c r="OV40" s="901"/>
      <c r="OW40" s="901"/>
      <c r="OX40" s="901"/>
      <c r="OY40" s="901"/>
      <c r="OZ40" s="901"/>
      <c r="PA40" s="901"/>
      <c r="PB40" s="901"/>
      <c r="PC40" s="901"/>
      <c r="PD40" s="901"/>
      <c r="PE40" s="901"/>
      <c r="PF40" s="901"/>
      <c r="PG40" s="901"/>
      <c r="PH40" s="901"/>
      <c r="PI40" s="901"/>
      <c r="PJ40" s="901"/>
      <c r="PK40" s="901"/>
      <c r="PL40" s="901"/>
      <c r="PM40" s="901"/>
      <c r="PN40" s="901"/>
      <c r="PO40" s="901"/>
      <c r="PP40" s="901"/>
      <c r="PQ40" s="901"/>
      <c r="PR40" s="901"/>
      <c r="PS40" s="901"/>
      <c r="PT40" s="901"/>
      <c r="PU40" s="901"/>
      <c r="PV40" s="901"/>
      <c r="PW40" s="901"/>
      <c r="PX40" s="901"/>
      <c r="PY40" s="901"/>
      <c r="PZ40" s="901"/>
      <c r="QA40" s="901"/>
      <c r="QB40" s="901"/>
      <c r="QC40" s="901"/>
      <c r="QD40" s="901"/>
      <c r="QE40" s="901"/>
      <c r="QF40" s="901"/>
      <c r="QG40" s="901"/>
      <c r="QH40" s="901"/>
      <c r="QI40" s="901"/>
      <c r="QJ40" s="901"/>
      <c r="QK40" s="901"/>
      <c r="QL40" s="901"/>
      <c r="QM40" s="901"/>
      <c r="QN40" s="901"/>
      <c r="QO40" s="901"/>
      <c r="QP40" s="901"/>
      <c r="QQ40" s="901"/>
      <c r="QR40" s="901"/>
      <c r="QS40" s="901"/>
      <c r="QT40" s="901"/>
      <c r="QU40" s="901"/>
      <c r="QV40" s="901"/>
      <c r="QW40" s="901"/>
      <c r="QX40" s="901"/>
      <c r="QY40" s="901"/>
      <c r="QZ40" s="901"/>
      <c r="RA40" s="901"/>
      <c r="RB40" s="901"/>
      <c r="RC40" s="901"/>
      <c r="RD40" s="901"/>
      <c r="RE40" s="901"/>
      <c r="RF40" s="901"/>
      <c r="RG40" s="901"/>
      <c r="RH40" s="901"/>
      <c r="RI40" s="901"/>
      <c r="RJ40" s="901"/>
      <c r="RK40" s="901"/>
      <c r="RL40" s="901"/>
      <c r="RM40" s="901"/>
      <c r="RN40" s="901"/>
      <c r="RO40" s="901"/>
      <c r="RP40" s="901"/>
      <c r="RQ40" s="901"/>
      <c r="RR40" s="901"/>
      <c r="RS40" s="901"/>
      <c r="RT40" s="901"/>
      <c r="RU40" s="901"/>
      <c r="RV40" s="901"/>
      <c r="RW40" s="901"/>
      <c r="RX40" s="901"/>
      <c r="RY40" s="901"/>
      <c r="RZ40" s="901"/>
      <c r="SA40" s="901"/>
      <c r="SB40" s="901"/>
      <c r="SC40" s="901"/>
      <c r="SD40" s="901"/>
      <c r="SE40" s="901"/>
      <c r="SF40" s="901"/>
      <c r="SG40" s="901"/>
      <c r="SH40" s="901"/>
      <c r="SI40" s="901"/>
      <c r="SJ40" s="901"/>
      <c r="SK40" s="901"/>
      <c r="SL40" s="901"/>
      <c r="SM40" s="901"/>
      <c r="SN40" s="901"/>
      <c r="SO40" s="901"/>
      <c r="SP40" s="901"/>
      <c r="SQ40" s="901"/>
      <c r="SR40" s="901"/>
      <c r="SS40" s="901"/>
      <c r="ST40" s="901"/>
      <c r="SU40" s="901"/>
      <c r="SV40" s="901"/>
      <c r="SW40" s="901"/>
      <c r="SX40" s="901"/>
      <c r="SY40" s="901"/>
      <c r="SZ40" s="901"/>
      <c r="TA40" s="901"/>
      <c r="TB40" s="901"/>
      <c r="TC40" s="901"/>
      <c r="TD40" s="901"/>
      <c r="TE40" s="901"/>
      <c r="TF40" s="901"/>
      <c r="TG40" s="901"/>
      <c r="TH40" s="901"/>
      <c r="TI40" s="901"/>
      <c r="TJ40" s="901"/>
      <c r="TK40" s="901"/>
      <c r="TL40" s="901"/>
      <c r="TM40" s="901"/>
      <c r="TN40" s="901"/>
      <c r="TO40" s="901"/>
      <c r="TP40" s="901"/>
      <c r="TQ40" s="901"/>
      <c r="TR40" s="901"/>
      <c r="TS40" s="901"/>
      <c r="TT40" s="901"/>
      <c r="TU40" s="901"/>
      <c r="TV40" s="901"/>
      <c r="TW40" s="901"/>
      <c r="TX40" s="901"/>
      <c r="TY40" s="901"/>
      <c r="TZ40" s="901"/>
      <c r="UA40" s="901"/>
      <c r="UB40" s="901"/>
      <c r="UC40" s="901"/>
      <c r="UD40" s="901"/>
      <c r="UE40" s="901"/>
      <c r="UF40" s="901"/>
      <c r="UG40" s="901"/>
      <c r="UH40" s="901"/>
      <c r="UI40" s="901"/>
      <c r="UJ40" s="901"/>
      <c r="UK40" s="901"/>
      <c r="UL40" s="901"/>
      <c r="UM40" s="901"/>
      <c r="UN40" s="901"/>
      <c r="UO40" s="901"/>
      <c r="UP40" s="901"/>
      <c r="UQ40" s="901"/>
      <c r="UR40" s="901"/>
      <c r="US40" s="901"/>
      <c r="UT40" s="901"/>
      <c r="UU40" s="901"/>
      <c r="UV40" s="901"/>
      <c r="UW40" s="901"/>
      <c r="UX40" s="901"/>
      <c r="UY40" s="901"/>
      <c r="UZ40" s="901"/>
      <c r="VA40" s="901"/>
      <c r="VB40" s="901"/>
      <c r="VC40" s="901"/>
      <c r="VD40" s="901"/>
      <c r="VE40" s="901"/>
      <c r="VF40" s="901"/>
      <c r="VG40" s="901"/>
      <c r="VH40" s="901"/>
      <c r="VI40" s="901"/>
      <c r="VJ40" s="901"/>
      <c r="VK40" s="901"/>
      <c r="VL40" s="901"/>
      <c r="VM40" s="901"/>
      <c r="VN40" s="901"/>
      <c r="VO40" s="901"/>
      <c r="VP40" s="901"/>
      <c r="VQ40" s="901"/>
      <c r="VR40" s="901"/>
      <c r="VS40" s="901"/>
      <c r="VT40" s="901"/>
      <c r="VU40" s="901"/>
      <c r="VV40" s="901"/>
      <c r="VW40" s="901"/>
      <c r="VX40" s="901"/>
      <c r="VY40" s="901"/>
      <c r="VZ40" s="901"/>
      <c r="WA40" s="901"/>
      <c r="WB40" s="901"/>
      <c r="WC40" s="901"/>
      <c r="WD40" s="901"/>
      <c r="WE40" s="901"/>
      <c r="WF40" s="901"/>
      <c r="WG40" s="901"/>
      <c r="WH40" s="901"/>
      <c r="WI40" s="901"/>
      <c r="WJ40" s="901"/>
      <c r="WK40" s="901"/>
      <c r="WL40" s="901"/>
      <c r="WM40" s="901"/>
      <c r="WN40" s="901"/>
      <c r="WO40" s="901"/>
      <c r="WP40" s="901"/>
      <c r="WQ40" s="901"/>
      <c r="WR40" s="901"/>
      <c r="WS40" s="901"/>
      <c r="WT40" s="901"/>
      <c r="WU40" s="901"/>
      <c r="WV40" s="901"/>
      <c r="WW40" s="901"/>
      <c r="WX40" s="901"/>
      <c r="WY40" s="901"/>
      <c r="WZ40" s="901"/>
      <c r="XA40" s="901"/>
      <c r="XB40" s="901"/>
      <c r="XC40" s="901"/>
      <c r="XD40" s="901"/>
      <c r="XE40" s="901"/>
      <c r="XF40" s="901"/>
      <c r="XG40" s="901"/>
      <c r="XH40" s="901"/>
      <c r="XI40" s="901"/>
      <c r="XJ40" s="901"/>
      <c r="XK40" s="901"/>
      <c r="XL40" s="901"/>
      <c r="XM40" s="901"/>
      <c r="XN40" s="901"/>
      <c r="XO40" s="901"/>
      <c r="XP40" s="901"/>
      <c r="XQ40" s="901"/>
      <c r="XR40" s="901"/>
      <c r="XS40" s="901"/>
      <c r="XT40" s="901"/>
      <c r="XU40" s="901"/>
      <c r="XV40" s="901"/>
      <c r="XW40" s="901"/>
      <c r="XX40" s="901"/>
      <c r="XY40" s="901"/>
      <c r="XZ40" s="901"/>
      <c r="YA40" s="901"/>
      <c r="YB40" s="901"/>
      <c r="YC40" s="901"/>
      <c r="YD40" s="901"/>
      <c r="YE40" s="901"/>
      <c r="YF40" s="901"/>
      <c r="YG40" s="901"/>
      <c r="YH40" s="901"/>
      <c r="YI40" s="901"/>
      <c r="YJ40" s="901"/>
      <c r="YK40" s="901"/>
      <c r="YL40" s="901"/>
      <c r="YM40" s="901"/>
      <c r="YN40" s="901"/>
      <c r="YO40" s="901"/>
      <c r="YP40" s="901"/>
      <c r="YQ40" s="901"/>
      <c r="YR40" s="901"/>
      <c r="YS40" s="901"/>
      <c r="YT40" s="901"/>
      <c r="YU40" s="901"/>
      <c r="YV40" s="901"/>
      <c r="YW40" s="901"/>
      <c r="YX40" s="901"/>
      <c r="YY40" s="901"/>
      <c r="YZ40" s="901"/>
      <c r="ZA40" s="901"/>
      <c r="ZB40" s="901"/>
      <c r="ZC40" s="901"/>
      <c r="ZD40" s="901"/>
      <c r="ZE40" s="901"/>
      <c r="ZF40" s="901"/>
      <c r="ZG40" s="901"/>
      <c r="ZH40" s="901"/>
      <c r="ZI40" s="901"/>
      <c r="ZJ40" s="901"/>
      <c r="ZK40" s="901"/>
      <c r="ZL40" s="901"/>
      <c r="ZM40" s="901"/>
      <c r="ZN40" s="901"/>
      <c r="ZO40" s="901"/>
      <c r="ZP40" s="901"/>
      <c r="ZQ40" s="901"/>
      <c r="ZR40" s="901"/>
      <c r="ZS40" s="901"/>
      <c r="ZT40" s="901"/>
      <c r="ZU40" s="901"/>
      <c r="ZV40" s="901"/>
      <c r="ZW40" s="901"/>
      <c r="ZX40" s="901"/>
      <c r="ZY40" s="901"/>
      <c r="ZZ40" s="901"/>
      <c r="AAA40" s="901"/>
      <c r="AAB40" s="901"/>
      <c r="AAC40" s="901"/>
      <c r="AAD40" s="901"/>
      <c r="AAE40" s="901"/>
      <c r="AAF40" s="901"/>
      <c r="AAG40" s="901"/>
      <c r="AAH40" s="901"/>
      <c r="AAI40" s="901"/>
      <c r="AAJ40" s="901"/>
      <c r="AAK40" s="901"/>
      <c r="AAL40" s="901"/>
      <c r="AAM40" s="901"/>
      <c r="AAN40" s="901"/>
      <c r="AAO40" s="901"/>
      <c r="AAP40" s="901"/>
      <c r="AAQ40" s="901"/>
      <c r="AAR40" s="901"/>
      <c r="AAS40" s="901"/>
      <c r="AAT40" s="901"/>
      <c r="AAU40" s="901"/>
      <c r="AAV40" s="901"/>
      <c r="AAW40" s="901"/>
      <c r="AAX40" s="901"/>
      <c r="AAY40" s="901"/>
      <c r="AAZ40" s="901"/>
      <c r="ABA40" s="901"/>
      <c r="ABB40" s="901"/>
      <c r="ABC40" s="901"/>
      <c r="ABD40" s="901"/>
      <c r="ABE40" s="901"/>
      <c r="ABF40" s="901"/>
      <c r="ABG40" s="901"/>
      <c r="ABH40" s="901"/>
      <c r="ABI40" s="901"/>
      <c r="ABJ40" s="901"/>
      <c r="ABK40" s="901"/>
      <c r="ABL40" s="901"/>
      <c r="ABM40" s="901"/>
      <c r="ABN40" s="901"/>
      <c r="ABO40" s="901"/>
      <c r="ABP40" s="901"/>
      <c r="ABQ40" s="901"/>
      <c r="ABR40" s="901"/>
      <c r="ABS40" s="901"/>
      <c r="ABT40" s="901"/>
      <c r="ABU40" s="901"/>
      <c r="ABV40" s="901"/>
      <c r="ABW40" s="901"/>
      <c r="ABX40" s="901"/>
      <c r="ABY40" s="901"/>
      <c r="ABZ40" s="901"/>
      <c r="ACA40" s="901"/>
      <c r="ACB40" s="901"/>
      <c r="ACC40" s="901"/>
      <c r="ACD40" s="901"/>
      <c r="ACE40" s="901"/>
      <c r="ACF40" s="901"/>
      <c r="ACG40" s="901"/>
      <c r="ACH40" s="901"/>
      <c r="ACI40" s="901"/>
      <c r="ACJ40" s="901"/>
      <c r="ACK40" s="901"/>
      <c r="ACL40" s="901"/>
      <c r="ACM40" s="901"/>
      <c r="ACN40" s="901"/>
      <c r="ACO40" s="901"/>
      <c r="ACP40" s="901"/>
      <c r="ACQ40" s="901"/>
      <c r="ACR40" s="901"/>
      <c r="ACS40" s="901"/>
      <c r="ACT40" s="901"/>
      <c r="ACU40" s="901"/>
      <c r="ACV40" s="901"/>
      <c r="ACW40" s="901"/>
      <c r="ACX40" s="901"/>
      <c r="ACY40" s="901"/>
      <c r="ACZ40" s="901"/>
      <c r="ADA40" s="901"/>
      <c r="ADB40" s="901"/>
      <c r="ADC40" s="901"/>
      <c r="ADD40" s="901"/>
      <c r="ADE40" s="901"/>
      <c r="ADF40" s="901"/>
      <c r="ADG40" s="901"/>
      <c r="ADH40" s="901"/>
      <c r="ADI40" s="901"/>
      <c r="ADJ40" s="901"/>
      <c r="ADK40" s="901"/>
      <c r="ADL40" s="901"/>
      <c r="ADM40" s="901"/>
      <c r="ADN40" s="901"/>
      <c r="ADO40" s="901"/>
      <c r="ADP40" s="901"/>
      <c r="ADQ40" s="901"/>
      <c r="ADR40" s="901"/>
      <c r="ADS40" s="901"/>
      <c r="ADT40" s="901"/>
      <c r="ADU40" s="901"/>
      <c r="ADV40" s="901"/>
      <c r="ADW40" s="901"/>
      <c r="ADX40" s="901"/>
      <c r="ADY40" s="901"/>
      <c r="ADZ40" s="901"/>
      <c r="AEA40" s="901"/>
      <c r="AEB40" s="901"/>
      <c r="AEC40" s="901"/>
      <c r="AED40" s="901"/>
      <c r="AEE40" s="901"/>
      <c r="AEF40" s="901"/>
      <c r="AEG40" s="901"/>
      <c r="AEH40" s="901"/>
      <c r="AEI40" s="901"/>
      <c r="AEJ40" s="901"/>
      <c r="AEK40" s="901"/>
      <c r="AEL40" s="901"/>
      <c r="AEM40" s="901"/>
      <c r="AEN40" s="901"/>
      <c r="AEO40" s="901"/>
      <c r="AEP40" s="901"/>
      <c r="AEQ40" s="901"/>
      <c r="AER40" s="901"/>
      <c r="AES40" s="901"/>
      <c r="AET40" s="901"/>
      <c r="AEU40" s="901"/>
      <c r="AEV40" s="901"/>
      <c r="AEW40" s="901"/>
      <c r="AEX40" s="901"/>
      <c r="AEY40" s="901"/>
      <c r="AEZ40" s="901"/>
      <c r="AFA40" s="901"/>
      <c r="AFB40" s="901"/>
      <c r="AFC40" s="901"/>
      <c r="AFD40" s="901"/>
      <c r="AFE40" s="901"/>
      <c r="AFF40" s="901"/>
      <c r="AFG40" s="901"/>
      <c r="AFH40" s="901"/>
      <c r="AFI40" s="901"/>
      <c r="AFJ40" s="901"/>
      <c r="AFK40" s="901"/>
      <c r="AFL40" s="901"/>
      <c r="AFM40" s="901"/>
      <c r="AFN40" s="901"/>
      <c r="AFO40" s="901"/>
      <c r="AFP40" s="901"/>
      <c r="AFQ40" s="901"/>
      <c r="AFR40" s="901"/>
      <c r="AFS40" s="901"/>
      <c r="AFT40" s="901"/>
      <c r="AFU40" s="901"/>
      <c r="AFV40" s="901"/>
      <c r="AFW40" s="901"/>
      <c r="AFX40" s="901"/>
      <c r="AFY40" s="901"/>
      <c r="AFZ40" s="901"/>
      <c r="AGA40" s="901"/>
      <c r="AGB40" s="901"/>
      <c r="AGC40" s="901"/>
      <c r="AGD40" s="901"/>
      <c r="AGE40" s="901"/>
      <c r="AGF40" s="901"/>
      <c r="AGG40" s="901"/>
      <c r="AGH40" s="901"/>
      <c r="AGI40" s="901"/>
      <c r="AGJ40" s="901"/>
      <c r="AGK40" s="901"/>
      <c r="AGL40" s="901"/>
      <c r="AGM40" s="901"/>
      <c r="AGN40" s="901"/>
      <c r="AGO40" s="901"/>
      <c r="AGP40" s="901"/>
      <c r="AGQ40" s="901"/>
      <c r="AGR40" s="901"/>
      <c r="AGS40" s="901"/>
      <c r="AGT40" s="901"/>
      <c r="AGU40" s="901"/>
      <c r="AGV40" s="901"/>
      <c r="AGW40" s="901"/>
      <c r="AGX40" s="901"/>
      <c r="AGY40" s="901"/>
      <c r="AGZ40" s="901"/>
      <c r="AHA40" s="901"/>
      <c r="AHB40" s="901"/>
      <c r="AHC40" s="901"/>
      <c r="AHD40" s="901"/>
      <c r="AHE40" s="901"/>
      <c r="AHF40" s="901"/>
      <c r="AHG40" s="901"/>
      <c r="AHH40" s="901"/>
      <c r="AHI40" s="901"/>
      <c r="AHJ40" s="901"/>
      <c r="AHK40" s="901"/>
      <c r="AHL40" s="901"/>
      <c r="AHM40" s="901"/>
      <c r="AHN40" s="901"/>
      <c r="AHO40" s="901"/>
      <c r="AHP40" s="901"/>
      <c r="AHQ40" s="901"/>
      <c r="AHR40" s="901"/>
      <c r="AHS40" s="901"/>
      <c r="AHT40" s="901"/>
      <c r="AHU40" s="901"/>
      <c r="AHV40" s="901"/>
      <c r="AHW40" s="901"/>
      <c r="AHX40" s="901"/>
      <c r="AHY40" s="901"/>
      <c r="AHZ40" s="901"/>
      <c r="AIA40" s="901"/>
      <c r="AIB40" s="901"/>
      <c r="AIC40" s="901"/>
      <c r="AID40" s="901"/>
      <c r="AIE40" s="901"/>
      <c r="AIF40" s="901"/>
      <c r="AIG40" s="901"/>
      <c r="AIH40" s="901"/>
      <c r="AII40" s="901"/>
      <c r="AIJ40" s="901"/>
      <c r="AIK40" s="901"/>
      <c r="AIL40" s="901"/>
      <c r="AIM40" s="901"/>
      <c r="AIN40" s="901"/>
      <c r="AIO40" s="901"/>
      <c r="AIP40" s="901"/>
      <c r="AIQ40" s="901"/>
      <c r="AIR40" s="901"/>
      <c r="AIS40" s="901"/>
      <c r="AIT40" s="901"/>
      <c r="AIU40" s="901"/>
      <c r="AIV40" s="901"/>
      <c r="AIW40" s="901"/>
      <c r="AIX40" s="901"/>
      <c r="AIY40" s="901"/>
      <c r="AIZ40" s="901"/>
      <c r="AJA40" s="901"/>
      <c r="AJB40" s="901"/>
      <c r="AJC40" s="901"/>
      <c r="AJD40" s="901"/>
      <c r="AJE40" s="901"/>
      <c r="AJF40" s="901"/>
      <c r="AJG40" s="901"/>
      <c r="AJH40" s="901"/>
      <c r="AJI40" s="901"/>
      <c r="AJJ40" s="901"/>
      <c r="AJK40" s="901"/>
      <c r="AJL40" s="901"/>
      <c r="AJM40" s="901"/>
      <c r="AJN40" s="901"/>
      <c r="AJO40" s="901"/>
      <c r="AJP40" s="901"/>
      <c r="AJQ40" s="901"/>
      <c r="AJR40" s="901"/>
      <c r="AJS40" s="901"/>
      <c r="AJT40" s="901"/>
      <c r="AJU40" s="901"/>
      <c r="AJV40" s="901"/>
      <c r="AJW40" s="901"/>
      <c r="AJX40" s="901"/>
      <c r="AJY40" s="901"/>
      <c r="AJZ40" s="901"/>
      <c r="AKA40" s="901"/>
      <c r="AKB40" s="901"/>
      <c r="AKC40" s="901"/>
      <c r="AKD40" s="901"/>
      <c r="AKE40" s="901"/>
      <c r="AKF40" s="901"/>
      <c r="AKG40" s="901"/>
      <c r="AKH40" s="901"/>
      <c r="AKI40" s="901"/>
      <c r="AKJ40" s="901"/>
      <c r="AKK40" s="901"/>
      <c r="AKL40" s="901"/>
      <c r="AKM40" s="901"/>
      <c r="AKN40" s="901"/>
      <c r="AKO40" s="901"/>
      <c r="AKP40" s="901"/>
      <c r="AKQ40" s="901"/>
      <c r="AKR40" s="901"/>
      <c r="AKS40" s="901"/>
      <c r="AKT40" s="901"/>
      <c r="AKU40" s="901"/>
      <c r="AKV40" s="901"/>
      <c r="AKW40" s="901"/>
      <c r="AKX40" s="901"/>
      <c r="AKY40" s="901"/>
      <c r="AKZ40" s="901"/>
      <c r="ALA40" s="901"/>
      <c r="ALB40" s="901"/>
      <c r="ALC40" s="901"/>
      <c r="ALD40" s="901"/>
      <c r="ALE40" s="901"/>
      <c r="ALF40" s="901"/>
      <c r="ALG40" s="901"/>
      <c r="ALH40" s="901"/>
      <c r="ALI40" s="901"/>
      <c r="ALJ40" s="901"/>
      <c r="ALK40" s="901"/>
      <c r="ALL40" s="901"/>
      <c r="ALM40" s="901"/>
      <c r="ALN40" s="901"/>
      <c r="ALO40" s="901"/>
      <c r="ALP40" s="901"/>
      <c r="ALQ40" s="901"/>
      <c r="ALR40" s="901"/>
      <c r="ALS40" s="901"/>
      <c r="ALT40" s="901"/>
      <c r="ALU40" s="901"/>
      <c r="ALV40" s="901"/>
      <c r="ALW40" s="901"/>
      <c r="ALX40" s="901"/>
      <c r="ALY40" s="901"/>
      <c r="ALZ40" s="901"/>
      <c r="AMA40" s="901"/>
      <c r="AMB40" s="901"/>
      <c r="AMC40" s="901"/>
      <c r="AMD40" s="901"/>
      <c r="AME40" s="901"/>
      <c r="AMF40" s="901"/>
      <c r="AMG40" s="901"/>
      <c r="AMH40" s="901"/>
      <c r="AMI40" s="901"/>
      <c r="AMJ40" s="901"/>
      <c r="AMK40" s="901"/>
      <c r="AML40" s="901"/>
    </row>
    <row r="41" spans="1:1026">
      <c r="A41" s="80">
        <v>5</v>
      </c>
      <c r="B41" s="14" t="s">
        <v>16</v>
      </c>
      <c r="C41" s="14">
        <v>1</v>
      </c>
      <c r="D41" s="14" t="s">
        <v>16</v>
      </c>
      <c r="E41" s="15" t="s">
        <v>81</v>
      </c>
      <c r="F41" s="14" t="s">
        <v>16</v>
      </c>
      <c r="G41" s="81" t="s">
        <v>73</v>
      </c>
      <c r="H41" s="251" t="s">
        <v>110</v>
      </c>
      <c r="I41" s="94">
        <v>82400</v>
      </c>
      <c r="J41" s="95">
        <v>80886.320000000007</v>
      </c>
      <c r="K41" s="94">
        <f>650*3*12</f>
        <v>23400</v>
      </c>
      <c r="L41" s="95">
        <v>17550</v>
      </c>
      <c r="M41" s="94">
        <v>23400</v>
      </c>
      <c r="N41" s="95">
        <v>23400</v>
      </c>
      <c r="O41" s="96">
        <v>15600</v>
      </c>
      <c r="P41" s="97">
        <v>9100</v>
      </c>
      <c r="Q41" s="96">
        <v>15600</v>
      </c>
      <c r="R41" s="97">
        <v>13000</v>
      </c>
      <c r="S41" s="99">
        <f>2*650*12</f>
        <v>15600</v>
      </c>
      <c r="T41" s="99">
        <f>2*650*12</f>
        <v>15600</v>
      </c>
      <c r="U41" s="99">
        <v>-9100</v>
      </c>
      <c r="V41" s="99">
        <f>(650*11+770)*2</f>
        <v>15840</v>
      </c>
      <c r="W41" s="100">
        <v>-11700</v>
      </c>
      <c r="X41" s="101">
        <f>[1]Tabelle1!B12*2</f>
        <v>23040</v>
      </c>
      <c r="Y41" s="102">
        <v>-8215</v>
      </c>
      <c r="Z41" s="103">
        <f>X41/12*8+770*4*2</f>
        <v>21520</v>
      </c>
      <c r="AA41" s="104">
        <v>-19565</v>
      </c>
      <c r="AB41" s="103">
        <f>770*12*2</f>
        <v>18480</v>
      </c>
      <c r="AC41" s="104">
        <v>-19565</v>
      </c>
      <c r="AD41" s="103">
        <f>770*7*2+1200*5*2</f>
        <v>22780</v>
      </c>
      <c r="AE41" s="104">
        <v>-22780</v>
      </c>
      <c r="AF41" s="842">
        <f>1200*12*2</f>
        <v>28800</v>
      </c>
      <c r="AG41" s="666">
        <v>-14400</v>
      </c>
      <c r="AH41" s="842">
        <f>1200*12*2</f>
        <v>28800</v>
      </c>
      <c r="AI41" s="842">
        <f>1200*12*2</f>
        <v>28800</v>
      </c>
      <c r="AJ41" s="103">
        <f>1200*12*2</f>
        <v>28800</v>
      </c>
      <c r="AM41" s="106"/>
      <c r="AN41" s="106"/>
      <c r="AO41" s="234"/>
    </row>
    <row r="42" spans="1:1026">
      <c r="A42" s="80">
        <v>5</v>
      </c>
      <c r="B42" s="14" t="s">
        <v>16</v>
      </c>
      <c r="C42" s="14">
        <v>1</v>
      </c>
      <c r="D42" s="14" t="s">
        <v>16</v>
      </c>
      <c r="E42" s="15" t="s">
        <v>81</v>
      </c>
      <c r="F42" s="14" t="s">
        <v>16</v>
      </c>
      <c r="G42" s="81" t="s">
        <v>77</v>
      </c>
      <c r="H42" s="251" t="s">
        <v>111</v>
      </c>
      <c r="I42" s="94">
        <v>73600</v>
      </c>
      <c r="J42" s="95">
        <v>68849.77</v>
      </c>
      <c r="K42" s="94">
        <f>450*2*12</f>
        <v>10800</v>
      </c>
      <c r="L42" s="95">
        <v>5062.25</v>
      </c>
      <c r="M42" s="94">
        <v>11800</v>
      </c>
      <c r="N42" s="95">
        <v>8332.25</v>
      </c>
      <c r="O42" s="96">
        <f>9600</f>
        <v>9600</v>
      </c>
      <c r="P42" s="97">
        <v>4970</v>
      </c>
      <c r="Q42" s="96">
        <v>9600</v>
      </c>
      <c r="R42" s="97">
        <v>7100</v>
      </c>
      <c r="S42" s="99">
        <f>2*40*10*9+2*40*11*3</f>
        <v>9840</v>
      </c>
      <c r="T42" s="99">
        <f>2*40*10*9+2*40*11*3</f>
        <v>9840</v>
      </c>
      <c r="U42" s="99">
        <v>-5000</v>
      </c>
      <c r="V42" s="99">
        <f>2*10*40*2+(7*10*40)+(5*10*40)+(3*10*20)+6*12*40</f>
        <v>9880</v>
      </c>
      <c r="W42" s="100">
        <v>-6200</v>
      </c>
      <c r="X42" s="101">
        <f>2*[1]Tabelle1!B9</f>
        <v>11520</v>
      </c>
      <c r="Y42" s="102">
        <v>-4190</v>
      </c>
      <c r="Z42" s="103">
        <f>X42/12*8+4*15*40*4</f>
        <v>17280</v>
      </c>
      <c r="AA42" s="104">
        <v>-14990</v>
      </c>
      <c r="AB42" s="103">
        <f>4*15*40*12</f>
        <v>28800</v>
      </c>
      <c r="AC42" s="104">
        <v>-14990</v>
      </c>
      <c r="AD42" s="103">
        <f>4*14*40*7+4*15*40*5</f>
        <v>27680</v>
      </c>
      <c r="AE42" s="104">
        <v>-30680</v>
      </c>
      <c r="AF42" s="842">
        <f>4*15*40*12</f>
        <v>28800</v>
      </c>
      <c r="AG42" s="666">
        <v>-16570</v>
      </c>
      <c r="AH42" s="842">
        <f>4*15*40*12</f>
        <v>28800</v>
      </c>
      <c r="AI42" s="842">
        <f>4*15*40*12</f>
        <v>28800</v>
      </c>
      <c r="AJ42" s="103">
        <f>4*15*40*12</f>
        <v>28800</v>
      </c>
      <c r="AK42" s="700" t="s">
        <v>423</v>
      </c>
      <c r="AM42" s="106"/>
      <c r="AN42" s="106"/>
    </row>
    <row r="43" spans="1:1026">
      <c r="A43" s="144"/>
      <c r="B43" s="680"/>
      <c r="C43" s="680"/>
      <c r="D43" s="680"/>
      <c r="E43" s="676"/>
      <c r="F43" s="680"/>
      <c r="G43" s="145"/>
      <c r="H43" s="146" t="s">
        <v>112</v>
      </c>
      <c r="I43" s="147">
        <f t="shared" ref="I43:P43" si="15">SUM(I39:I42)</f>
        <v>203900</v>
      </c>
      <c r="J43" s="148">
        <f t="shared" si="15"/>
        <v>196295.31</v>
      </c>
      <c r="K43" s="147">
        <f t="shared" si="15"/>
        <v>82600</v>
      </c>
      <c r="L43" s="148">
        <f t="shared" si="15"/>
        <v>58573.93</v>
      </c>
      <c r="M43" s="147">
        <f t="shared" si="15"/>
        <v>83600</v>
      </c>
      <c r="N43" s="148">
        <f t="shared" si="15"/>
        <v>79493.2</v>
      </c>
      <c r="O43" s="149">
        <f t="shared" si="15"/>
        <v>72400</v>
      </c>
      <c r="P43" s="150">
        <f t="shared" si="15"/>
        <v>41358.770000000004</v>
      </c>
      <c r="Q43" s="149">
        <v>71500</v>
      </c>
      <c r="R43" s="150">
        <f>SUM(R39:R42)</f>
        <v>58930.409999999996</v>
      </c>
      <c r="S43" s="151">
        <f>SUM(S39:S42)</f>
        <v>72640</v>
      </c>
      <c r="T43" s="151">
        <f>SUM(T39:T42)</f>
        <v>72640</v>
      </c>
      <c r="U43" s="151">
        <v>-36601.9</v>
      </c>
      <c r="V43" s="151">
        <f>SUM(V39:V42)</f>
        <v>62420</v>
      </c>
      <c r="W43" s="152">
        <v>-46548.01</v>
      </c>
      <c r="X43" s="153">
        <f>SUM(X39:X42)</f>
        <v>87560</v>
      </c>
      <c r="Y43" s="190">
        <v>-28169.65</v>
      </c>
      <c r="Z43" s="153">
        <f>SUM(Z39:Z42)</f>
        <v>78700</v>
      </c>
      <c r="AA43" s="153">
        <f>SUM(AA39:AA42)</f>
        <v>-72919.210000000006</v>
      </c>
      <c r="AB43" s="153">
        <f>SUM(AB39:AB42)</f>
        <v>110980</v>
      </c>
      <c r="AC43" s="873">
        <v>-72809.36</v>
      </c>
      <c r="AD43" s="153">
        <f>SUM(AD39:AD42)</f>
        <v>112560</v>
      </c>
      <c r="AE43" s="153">
        <f t="shared" ref="AE43" si="16">SUM(AE39:AE42)</f>
        <v>-116016.87</v>
      </c>
      <c r="AF43" s="153">
        <f>SUM(AF39:AF42)</f>
        <v>121300</v>
      </c>
      <c r="AG43" s="153">
        <f t="shared" ref="AG43" si="17">SUM(AG39:AG42)</f>
        <v>-64860.07</v>
      </c>
      <c r="AH43" s="153">
        <f>SUM(AH39:AH42)</f>
        <v>131620</v>
      </c>
      <c r="AI43" s="153">
        <f>SUM(AI39:AI42)</f>
        <v>135826</v>
      </c>
      <c r="AJ43" s="153">
        <f>SUM(AJ39:AJ42)</f>
        <v>135826</v>
      </c>
      <c r="AK43" s="702"/>
      <c r="AM43" s="106"/>
      <c r="AN43" s="106"/>
    </row>
    <row r="44" spans="1:1026">
      <c r="A44" s="80"/>
      <c r="B44" s="14"/>
      <c r="C44" s="14"/>
      <c r="D44" s="14"/>
      <c r="E44" s="15"/>
      <c r="F44" s="14"/>
      <c r="G44" s="81"/>
      <c r="H44" s="252"/>
      <c r="I44" s="253"/>
      <c r="J44" s="254"/>
      <c r="K44" s="253"/>
      <c r="L44" s="254"/>
      <c r="M44" s="255"/>
      <c r="N44" s="255"/>
      <c r="O44" s="256"/>
      <c r="P44" s="257"/>
      <c r="Q44" s="256"/>
      <c r="R44" s="257"/>
      <c r="S44" s="258"/>
      <c r="T44" s="258"/>
      <c r="U44" s="258"/>
      <c r="V44" s="258"/>
      <c r="W44" s="259"/>
      <c r="X44" s="260"/>
      <c r="Y44" s="261"/>
      <c r="Z44" s="262"/>
      <c r="AA44" s="314"/>
      <c r="AB44" s="262"/>
      <c r="AC44" s="263"/>
      <c r="AD44" s="262"/>
      <c r="AE44" s="263"/>
      <c r="AF44" s="262"/>
      <c r="AG44" s="751"/>
      <c r="AH44" s="262"/>
      <c r="AI44" s="262"/>
      <c r="AJ44" s="262"/>
      <c r="AK44" s="709"/>
      <c r="AM44" s="106"/>
      <c r="AN44" s="106"/>
    </row>
    <row r="45" spans="1:1026">
      <c r="A45" s="66">
        <v>5</v>
      </c>
      <c r="B45" s="67" t="s">
        <v>16</v>
      </c>
      <c r="C45" s="67">
        <v>1</v>
      </c>
      <c r="D45" s="67" t="s">
        <v>16</v>
      </c>
      <c r="E45" s="68" t="s">
        <v>84</v>
      </c>
      <c r="F45" s="67" t="s">
        <v>16</v>
      </c>
      <c r="G45" s="69" t="s">
        <v>70</v>
      </c>
      <c r="H45" s="238" t="s">
        <v>113</v>
      </c>
      <c r="I45" s="239"/>
      <c r="J45" s="240"/>
      <c r="K45" s="239"/>
      <c r="L45" s="240"/>
      <c r="M45" s="239"/>
      <c r="N45" s="240"/>
      <c r="O45" s="241"/>
      <c r="P45" s="242"/>
      <c r="Q45" s="241"/>
      <c r="R45" s="242"/>
      <c r="S45" s="243"/>
      <c r="T45" s="243"/>
      <c r="U45" s="243"/>
      <c r="V45" s="243"/>
      <c r="W45" s="244"/>
      <c r="X45" s="245"/>
      <c r="Y45" s="246"/>
      <c r="Z45" s="247"/>
      <c r="AA45" s="176"/>
      <c r="AB45" s="247"/>
      <c r="AC45" s="248"/>
      <c r="AD45" s="247"/>
      <c r="AE45" s="248"/>
      <c r="AF45" s="247"/>
      <c r="AG45" s="752"/>
      <c r="AH45" s="247"/>
      <c r="AI45" s="247"/>
      <c r="AJ45" s="247"/>
      <c r="AK45" s="703"/>
      <c r="AM45" s="106"/>
      <c r="AN45" s="106"/>
    </row>
    <row r="46" spans="1:1026">
      <c r="A46" s="80">
        <v>5</v>
      </c>
      <c r="B46" s="14" t="s">
        <v>16</v>
      </c>
      <c r="C46" s="14">
        <v>1</v>
      </c>
      <c r="D46" s="14" t="s">
        <v>16</v>
      </c>
      <c r="E46" s="15" t="s">
        <v>84</v>
      </c>
      <c r="F46" s="14" t="s">
        <v>16</v>
      </c>
      <c r="G46" s="81" t="s">
        <v>81</v>
      </c>
      <c r="H46" s="250" t="s">
        <v>108</v>
      </c>
      <c r="I46" s="264">
        <v>1500</v>
      </c>
      <c r="J46" s="84">
        <v>823.11</v>
      </c>
      <c r="K46" s="83">
        <v>1500</v>
      </c>
      <c r="L46" s="84">
        <v>501.41</v>
      </c>
      <c r="M46" s="83">
        <v>1500</v>
      </c>
      <c r="N46" s="84">
        <v>1045.6199999999999</v>
      </c>
      <c r="O46" s="85">
        <v>1300</v>
      </c>
      <c r="P46" s="86">
        <v>280.67</v>
      </c>
      <c r="Q46" s="85">
        <v>750</v>
      </c>
      <c r="R46" s="86">
        <v>385.51</v>
      </c>
      <c r="S46" s="87">
        <v>1500</v>
      </c>
      <c r="T46" s="87">
        <v>1500</v>
      </c>
      <c r="U46" s="87">
        <v>-202.37</v>
      </c>
      <c r="V46" s="87">
        <v>1500</v>
      </c>
      <c r="W46" s="88">
        <v>-255.93</v>
      </c>
      <c r="X46" s="89">
        <v>1000</v>
      </c>
      <c r="Y46" s="90">
        <v>-206.5</v>
      </c>
      <c r="Z46" s="91">
        <v>1000</v>
      </c>
      <c r="AA46" s="92">
        <v>-682.88</v>
      </c>
      <c r="AB46" s="91">
        <v>1000</v>
      </c>
      <c r="AC46" s="92">
        <v>-682.88</v>
      </c>
      <c r="AD46" s="91">
        <v>1000</v>
      </c>
      <c r="AE46" s="92">
        <v>-502.25</v>
      </c>
      <c r="AF46" s="91">
        <v>1000</v>
      </c>
      <c r="AG46" s="38">
        <v>-373.82</v>
      </c>
      <c r="AH46" s="91">
        <v>1000</v>
      </c>
      <c r="AI46" s="91">
        <v>1000</v>
      </c>
      <c r="AJ46" s="91">
        <v>1000</v>
      </c>
      <c r="AK46" s="707"/>
      <c r="AM46" s="106"/>
      <c r="AN46" s="106"/>
    </row>
    <row r="47" spans="1:1026">
      <c r="A47" s="80">
        <v>5</v>
      </c>
      <c r="B47" s="14" t="s">
        <v>16</v>
      </c>
      <c r="C47" s="14">
        <v>1</v>
      </c>
      <c r="D47" s="14" t="s">
        <v>16</v>
      </c>
      <c r="E47" s="15" t="s">
        <v>84</v>
      </c>
      <c r="F47" s="14" t="s">
        <v>16</v>
      </c>
      <c r="G47" s="81" t="s">
        <v>84</v>
      </c>
      <c r="H47" s="251" t="s">
        <v>114</v>
      </c>
      <c r="I47" s="122">
        <v>32400</v>
      </c>
      <c r="J47" s="84">
        <v>31417.18</v>
      </c>
      <c r="K47" s="94">
        <v>32400</v>
      </c>
      <c r="L47" s="95">
        <v>22425.03</v>
      </c>
      <c r="M47" s="94">
        <v>32400</v>
      </c>
      <c r="N47" s="95">
        <v>28712.34</v>
      </c>
      <c r="O47" s="96">
        <v>32400</v>
      </c>
      <c r="P47" s="97">
        <v>19933.36</v>
      </c>
      <c r="Q47" s="96">
        <v>32400</v>
      </c>
      <c r="R47" s="97">
        <v>27408.37</v>
      </c>
      <c r="S47" s="99">
        <v>32000</v>
      </c>
      <c r="T47" s="99">
        <v>32000</v>
      </c>
      <c r="U47" s="99">
        <v>-21433.360000000001</v>
      </c>
      <c r="V47" s="99">
        <f>32000</f>
        <v>32000</v>
      </c>
      <c r="W47" s="100">
        <v>-26416.7</v>
      </c>
      <c r="X47" s="101">
        <f>ROUNDUP(26.3*25*4.35*13,-2)</f>
        <v>37200</v>
      </c>
      <c r="Y47" s="102">
        <v>-12965</v>
      </c>
      <c r="Z47" s="103">
        <f>ROUNDUP(27.6*25*52/12*13,-2)</f>
        <v>38900</v>
      </c>
      <c r="AA47" s="104">
        <v>-35269.57</v>
      </c>
      <c r="AB47" s="103">
        <f>ROUNDUP(27.6*25*52/12*13,-2)</f>
        <v>38900</v>
      </c>
      <c r="AC47" s="104">
        <v>-35269.57</v>
      </c>
      <c r="AD47" s="103">
        <f>ROUNDUP(27.6*25*52/12*13,-2)</f>
        <v>38900</v>
      </c>
      <c r="AE47" s="104">
        <v>-37272.83</v>
      </c>
      <c r="AF47" s="103">
        <f>ROUNDUP(27.6*25*52/12*13,-2)</f>
        <v>38900</v>
      </c>
      <c r="AG47" s="744">
        <v>-16581.23</v>
      </c>
      <c r="AH47" s="103">
        <f>ROUNDUP(27.6*25*52/12*13,-2)</f>
        <v>38900</v>
      </c>
      <c r="AI47" s="103">
        <f>ROUNDUP(27.6*25*52/12*13,-2)</f>
        <v>38900</v>
      </c>
      <c r="AJ47" s="103">
        <f>ROUNDUP(27.6*25*52/12*13,-2)</f>
        <v>38900</v>
      </c>
      <c r="AK47" s="706" t="s">
        <v>422</v>
      </c>
      <c r="AM47" s="106"/>
      <c r="AN47" s="106"/>
    </row>
    <row r="48" spans="1:1026">
      <c r="A48" s="80">
        <v>5</v>
      </c>
      <c r="B48" s="14" t="s">
        <v>16</v>
      </c>
      <c r="C48" s="14">
        <v>1</v>
      </c>
      <c r="D48" s="14" t="s">
        <v>16</v>
      </c>
      <c r="E48" s="15" t="s">
        <v>84</v>
      </c>
      <c r="F48" s="14" t="s">
        <v>16</v>
      </c>
      <c r="G48" s="81" t="s">
        <v>86</v>
      </c>
      <c r="H48" s="251" t="s">
        <v>110</v>
      </c>
      <c r="I48" s="94"/>
      <c r="J48" s="95"/>
      <c r="K48" s="94">
        <f>650*12</f>
        <v>7800</v>
      </c>
      <c r="L48" s="95">
        <v>5400</v>
      </c>
      <c r="M48" s="94">
        <f>650*12</f>
        <v>7800</v>
      </c>
      <c r="N48" s="95">
        <v>7338</v>
      </c>
      <c r="O48" s="96">
        <f>650*12</f>
        <v>7800</v>
      </c>
      <c r="P48" s="97">
        <v>4550</v>
      </c>
      <c r="Q48" s="96">
        <v>7800</v>
      </c>
      <c r="R48" s="97">
        <v>6500</v>
      </c>
      <c r="S48" s="99">
        <f>12*650</f>
        <v>7800</v>
      </c>
      <c r="T48" s="99">
        <f>12*650</f>
        <v>7800</v>
      </c>
      <c r="U48" s="99">
        <v>-4550</v>
      </c>
      <c r="V48" s="99">
        <f>650*11+770</f>
        <v>7920</v>
      </c>
      <c r="W48" s="100">
        <v>-5850</v>
      </c>
      <c r="X48" s="101">
        <f>[1]Tabelle1!B11</f>
        <v>8640</v>
      </c>
      <c r="Y48" s="102">
        <v>-3600</v>
      </c>
      <c r="Z48" s="103">
        <f>X48/12*8+770*4</f>
        <v>8840</v>
      </c>
      <c r="AA48" s="104">
        <v>-8840</v>
      </c>
      <c r="AB48" s="103">
        <f>770*12</f>
        <v>9240</v>
      </c>
      <c r="AC48" s="104">
        <v>-8840</v>
      </c>
      <c r="AD48" s="103">
        <f>770*7+900*5</f>
        <v>9890</v>
      </c>
      <c r="AE48" s="104">
        <v>-9890</v>
      </c>
      <c r="AF48" s="842">
        <f>788*12</f>
        <v>9456</v>
      </c>
      <c r="AG48" s="666">
        <v>-4334</v>
      </c>
      <c r="AH48" s="842">
        <f>788*12</f>
        <v>9456</v>
      </c>
      <c r="AI48" s="842">
        <f>788*12</f>
        <v>9456</v>
      </c>
      <c r="AJ48" s="1053">
        <f>900*12</f>
        <v>10800</v>
      </c>
      <c r="AK48" s="700"/>
      <c r="AM48" s="106"/>
      <c r="AN48" s="106"/>
    </row>
    <row r="49" spans="1:1026">
      <c r="A49" s="80">
        <v>5</v>
      </c>
      <c r="B49" s="14" t="s">
        <v>16</v>
      </c>
      <c r="C49" s="14">
        <v>1</v>
      </c>
      <c r="D49" s="14" t="s">
        <v>16</v>
      </c>
      <c r="E49" s="15" t="s">
        <v>84</v>
      </c>
      <c r="F49" s="14" t="s">
        <v>16</v>
      </c>
      <c r="G49" s="81" t="s">
        <v>73</v>
      </c>
      <c r="H49" s="251" t="s">
        <v>111</v>
      </c>
      <c r="I49" s="94"/>
      <c r="J49" s="95"/>
      <c r="K49" s="94">
        <f>400*1*12</f>
        <v>4800</v>
      </c>
      <c r="L49" s="95">
        <v>3450</v>
      </c>
      <c r="M49" s="94">
        <v>5200</v>
      </c>
      <c r="N49" s="95">
        <v>5131.88</v>
      </c>
      <c r="O49" s="96">
        <v>7200</v>
      </c>
      <c r="P49" s="97">
        <v>3930</v>
      </c>
      <c r="Q49" s="96">
        <v>7800</v>
      </c>
      <c r="R49" s="97">
        <v>5700</v>
      </c>
      <c r="S49" s="99">
        <f>2*40*10*9+2*40*11*3</f>
        <v>9840</v>
      </c>
      <c r="T49" s="99">
        <f>2*40*10*9+2*40*11*3</f>
        <v>9840</v>
      </c>
      <c r="U49" s="99">
        <v>-5180</v>
      </c>
      <c r="V49" s="99">
        <f>Semesterticket!B3*2</f>
        <v>0</v>
      </c>
      <c r="W49" s="100">
        <v>-6780</v>
      </c>
      <c r="X49" s="101">
        <f>[1]Tabelle1!B9*2</f>
        <v>11520</v>
      </c>
      <c r="Y49" s="102">
        <v>-6776.82</v>
      </c>
      <c r="Z49" s="103">
        <f>40*12*8*3+40*14*4*3</f>
        <v>18240</v>
      </c>
      <c r="AA49" s="104">
        <v>-18317.61</v>
      </c>
      <c r="AB49" s="103">
        <f>40*15*12*3</f>
        <v>21600</v>
      </c>
      <c r="AC49" s="104">
        <v>-18317.61</v>
      </c>
      <c r="AD49" s="103">
        <f>40*15*12*3-2760</f>
        <v>18840</v>
      </c>
      <c r="AE49" s="104">
        <v>-19705.89</v>
      </c>
      <c r="AF49" s="842">
        <f>40*15*12*2.5</f>
        <v>18000</v>
      </c>
      <c r="AG49" s="666">
        <v>-7623.86</v>
      </c>
      <c r="AH49" s="842">
        <f>40*15*12*2.5</f>
        <v>18000</v>
      </c>
      <c r="AI49" s="842">
        <f>40*15*12*2.5</f>
        <v>18000</v>
      </c>
      <c r="AJ49" s="842">
        <f>40*15*12*2.5</f>
        <v>18000</v>
      </c>
      <c r="AK49" s="700" t="s">
        <v>424</v>
      </c>
      <c r="AM49" s="106"/>
      <c r="AN49" s="106"/>
    </row>
    <row r="50" spans="1:1026">
      <c r="A50" s="144"/>
      <c r="B50" s="680"/>
      <c r="C50" s="680"/>
      <c r="D50" s="680"/>
      <c r="E50" s="676"/>
      <c r="F50" s="680"/>
      <c r="G50" s="145"/>
      <c r="H50" s="146" t="s">
        <v>115</v>
      </c>
      <c r="I50" s="265">
        <f t="shared" ref="I50:P50" si="18">SUM(I46:I49)</f>
        <v>33900</v>
      </c>
      <c r="J50" s="266">
        <f t="shared" si="18"/>
        <v>32240.29</v>
      </c>
      <c r="K50" s="147">
        <f t="shared" si="18"/>
        <v>46500</v>
      </c>
      <c r="L50" s="266">
        <f t="shared" si="18"/>
        <v>31776.44</v>
      </c>
      <c r="M50" s="147">
        <f t="shared" si="18"/>
        <v>46900</v>
      </c>
      <c r="N50" s="148">
        <f t="shared" si="18"/>
        <v>42227.839999999997</v>
      </c>
      <c r="O50" s="149">
        <f t="shared" si="18"/>
        <v>48700</v>
      </c>
      <c r="P50" s="150">
        <f t="shared" si="18"/>
        <v>28694.03</v>
      </c>
      <c r="Q50" s="149">
        <v>48750</v>
      </c>
      <c r="R50" s="150">
        <f>SUM(R46:R49)</f>
        <v>39993.879999999997</v>
      </c>
      <c r="S50" s="151">
        <f>SUM(S46:S49)</f>
        <v>51140</v>
      </c>
      <c r="T50" s="151">
        <f>SUM(T46:T49)</f>
        <v>51140</v>
      </c>
      <c r="U50" s="151">
        <v>-31365.73</v>
      </c>
      <c r="V50" s="151">
        <f>SUM(V46:V49)</f>
        <v>41420</v>
      </c>
      <c r="W50" s="152">
        <v>-39302.629999999997</v>
      </c>
      <c r="X50" s="153">
        <f>SUM(X46:X49)</f>
        <v>58360</v>
      </c>
      <c r="Y50" s="190">
        <v>-23548.32</v>
      </c>
      <c r="Z50" s="153">
        <f>SUM(Z46:Z49)</f>
        <v>66980</v>
      </c>
      <c r="AA50" s="153">
        <f>SUM(AA46:AA49)</f>
        <v>-63110.06</v>
      </c>
      <c r="AB50" s="153">
        <f>SUM(AB46:AB49)</f>
        <v>70740</v>
      </c>
      <c r="AC50" s="155">
        <v>-63110.06</v>
      </c>
      <c r="AD50" s="153">
        <f>SUM(AD46:AD49)</f>
        <v>68630</v>
      </c>
      <c r="AE50" s="153">
        <f t="shared" ref="AE50" si="19">SUM(AE46:AE49)</f>
        <v>-67370.97</v>
      </c>
      <c r="AF50" s="153">
        <f>SUM(AF46:AF49)</f>
        <v>67356</v>
      </c>
      <c r="AG50" s="153">
        <f t="shared" ref="AG50" si="20">SUM(AG46:AG49)</f>
        <v>-28912.91</v>
      </c>
      <c r="AH50" s="153">
        <f>SUM(AH46:AH49)</f>
        <v>67356</v>
      </c>
      <c r="AI50" s="153">
        <f>SUM(AI46:AI49)</f>
        <v>67356</v>
      </c>
      <c r="AJ50" s="153">
        <f>SUM(AJ46:AJ49)</f>
        <v>68700</v>
      </c>
      <c r="AK50" s="702"/>
      <c r="AM50" s="106"/>
      <c r="AN50" s="106"/>
    </row>
    <row r="51" spans="1:1026">
      <c r="A51" s="80"/>
      <c r="B51" s="14"/>
      <c r="C51" s="14"/>
      <c r="D51" s="14"/>
      <c r="E51" s="15"/>
      <c r="F51" s="14"/>
      <c r="G51" s="81"/>
      <c r="H51" s="252"/>
      <c r="I51" s="253"/>
      <c r="J51" s="254"/>
      <c r="K51" s="253"/>
      <c r="L51" s="254"/>
      <c r="M51" s="253"/>
      <c r="N51" s="254"/>
      <c r="O51" s="256"/>
      <c r="P51" s="257"/>
      <c r="Q51" s="256"/>
      <c r="R51" s="257"/>
      <c r="S51" s="258"/>
      <c r="T51" s="258"/>
      <c r="U51" s="258"/>
      <c r="V51" s="258"/>
      <c r="W51" s="259"/>
      <c r="X51" s="260"/>
      <c r="Y51" s="261"/>
      <c r="Z51" s="262"/>
      <c r="AA51" s="314"/>
      <c r="AB51" s="262"/>
      <c r="AC51" s="263"/>
      <c r="AD51" s="262"/>
      <c r="AE51" s="263"/>
      <c r="AF51" s="262"/>
      <c r="AG51" s="751"/>
      <c r="AH51" s="262"/>
      <c r="AI51" s="262"/>
      <c r="AJ51" s="262"/>
      <c r="AK51" s="709"/>
      <c r="AM51" s="106"/>
      <c r="AN51" s="106"/>
    </row>
    <row r="52" spans="1:1026">
      <c r="A52" s="66">
        <v>5</v>
      </c>
      <c r="B52" s="67" t="s">
        <v>16</v>
      </c>
      <c r="C52" s="67">
        <v>1</v>
      </c>
      <c r="D52" s="67" t="s">
        <v>16</v>
      </c>
      <c r="E52" s="68" t="s">
        <v>86</v>
      </c>
      <c r="F52" s="67" t="s">
        <v>16</v>
      </c>
      <c r="G52" s="69" t="s">
        <v>70</v>
      </c>
      <c r="H52" s="238" t="s">
        <v>116</v>
      </c>
      <c r="I52" s="239"/>
      <c r="J52" s="240"/>
      <c r="K52" s="239"/>
      <c r="L52" s="240"/>
      <c r="M52" s="240"/>
      <c r="N52" s="240"/>
      <c r="O52" s="241"/>
      <c r="P52" s="242"/>
      <c r="Q52" s="241"/>
      <c r="R52" s="242"/>
      <c r="S52" s="243"/>
      <c r="T52" s="243"/>
      <c r="U52" s="243"/>
      <c r="V52" s="243"/>
      <c r="W52" s="244"/>
      <c r="X52" s="245"/>
      <c r="Y52" s="246"/>
      <c r="Z52" s="247"/>
      <c r="AA52" s="176"/>
      <c r="AB52" s="247"/>
      <c r="AC52" s="248"/>
      <c r="AD52" s="247"/>
      <c r="AE52" s="248"/>
      <c r="AF52" s="247"/>
      <c r="AG52" s="752"/>
      <c r="AH52" s="247"/>
      <c r="AI52" s="247"/>
      <c r="AJ52" s="247"/>
      <c r="AK52" s="703"/>
      <c r="AM52" s="106"/>
      <c r="AN52" s="106"/>
    </row>
    <row r="53" spans="1:1026">
      <c r="A53" s="80">
        <v>5</v>
      </c>
      <c r="B53" s="14" t="s">
        <v>16</v>
      </c>
      <c r="C53" s="14">
        <v>1</v>
      </c>
      <c r="D53" s="14" t="s">
        <v>16</v>
      </c>
      <c r="E53" s="15" t="s">
        <v>86</v>
      </c>
      <c r="F53" s="14" t="s">
        <v>16</v>
      </c>
      <c r="G53" s="81" t="s">
        <v>81</v>
      </c>
      <c r="H53" s="250" t="s">
        <v>108</v>
      </c>
      <c r="I53" s="264"/>
      <c r="J53" s="84"/>
      <c r="K53" s="83"/>
      <c r="L53" s="84"/>
      <c r="M53" s="84"/>
      <c r="N53" s="84"/>
      <c r="O53" s="85">
        <v>1500</v>
      </c>
      <c r="P53" s="86">
        <v>38.159999999999997</v>
      </c>
      <c r="Q53" s="85">
        <v>750</v>
      </c>
      <c r="R53" s="86">
        <v>38.159999999999997</v>
      </c>
      <c r="S53" s="87">
        <v>1500</v>
      </c>
      <c r="T53" s="87">
        <v>1500</v>
      </c>
      <c r="U53" s="87">
        <v>0</v>
      </c>
      <c r="V53" s="87">
        <v>1500</v>
      </c>
      <c r="W53" s="88">
        <v>0</v>
      </c>
      <c r="X53" s="89">
        <v>1000</v>
      </c>
      <c r="Y53" s="90">
        <v>0</v>
      </c>
      <c r="Z53" s="91">
        <v>1000</v>
      </c>
      <c r="AA53" s="92">
        <v>-1518.66</v>
      </c>
      <c r="AB53" s="91">
        <v>1000</v>
      </c>
      <c r="AC53" s="92">
        <v>-1518.66</v>
      </c>
      <c r="AD53" s="91">
        <v>1000</v>
      </c>
      <c r="AE53" s="92"/>
      <c r="AF53" s="91">
        <v>1000</v>
      </c>
      <c r="AG53" s="744"/>
      <c r="AH53" s="91">
        <v>1000</v>
      </c>
      <c r="AI53" s="91">
        <v>1000</v>
      </c>
      <c r="AJ53" s="91">
        <v>1000</v>
      </c>
      <c r="AK53" s="707"/>
      <c r="AM53" s="106"/>
      <c r="AN53" s="106"/>
    </row>
    <row r="54" spans="1:1026">
      <c r="A54" s="80">
        <v>5</v>
      </c>
      <c r="B54" s="14" t="s">
        <v>16</v>
      </c>
      <c r="C54" s="14">
        <v>1</v>
      </c>
      <c r="D54" s="14" t="s">
        <v>16</v>
      </c>
      <c r="E54" s="15" t="s">
        <v>86</v>
      </c>
      <c r="F54" s="14" t="s">
        <v>16</v>
      </c>
      <c r="G54" s="81" t="s">
        <v>86</v>
      </c>
      <c r="H54" s="251" t="s">
        <v>110</v>
      </c>
      <c r="I54" s="94"/>
      <c r="J54" s="95"/>
      <c r="K54" s="94"/>
      <c r="L54" s="95"/>
      <c r="M54" s="95"/>
      <c r="N54" s="95"/>
      <c r="O54" s="96">
        <f>650*12</f>
        <v>7800</v>
      </c>
      <c r="P54" s="97">
        <v>4550</v>
      </c>
      <c r="Q54" s="96">
        <v>7575</v>
      </c>
      <c r="R54" s="97">
        <v>6500</v>
      </c>
      <c r="S54" s="99">
        <v>7800</v>
      </c>
      <c r="T54" s="99">
        <v>7800</v>
      </c>
      <c r="U54" s="99">
        <v>-4550</v>
      </c>
      <c r="V54" s="99">
        <f>650*11+770</f>
        <v>7920</v>
      </c>
      <c r="W54" s="100">
        <v>-5850</v>
      </c>
      <c r="X54" s="101">
        <f>[1]Tabelle1!B11</f>
        <v>8640</v>
      </c>
      <c r="Y54" s="102">
        <v>-3600</v>
      </c>
      <c r="Z54" s="103">
        <f>X54/12*8+770*4</f>
        <v>8840</v>
      </c>
      <c r="AA54" s="104">
        <v>-8840</v>
      </c>
      <c r="AB54" s="103">
        <f>770*12</f>
        <v>9240</v>
      </c>
      <c r="AC54" s="104">
        <v>-8840</v>
      </c>
      <c r="AD54" s="103">
        <f>770*7+900*5</f>
        <v>9890</v>
      </c>
      <c r="AE54" s="104">
        <v>-9330</v>
      </c>
      <c r="AF54" s="842">
        <f>788*12</f>
        <v>9456</v>
      </c>
      <c r="AG54" s="666">
        <v>-4728</v>
      </c>
      <c r="AH54" s="842">
        <f>788*12</f>
        <v>9456</v>
      </c>
      <c r="AI54" s="842">
        <f>788*12</f>
        <v>9456</v>
      </c>
      <c r="AJ54" s="1053">
        <f>900*12</f>
        <v>10800</v>
      </c>
      <c r="AK54" s="700"/>
      <c r="AM54" s="106"/>
      <c r="AN54" s="106"/>
    </row>
    <row r="55" spans="1:1026">
      <c r="A55" s="80">
        <v>5</v>
      </c>
      <c r="B55" s="14" t="s">
        <v>16</v>
      </c>
      <c r="C55" s="14">
        <v>1</v>
      </c>
      <c r="D55" s="14" t="s">
        <v>16</v>
      </c>
      <c r="E55" s="15" t="s">
        <v>86</v>
      </c>
      <c r="F55" s="14" t="s">
        <v>16</v>
      </c>
      <c r="G55" s="81" t="s">
        <v>84</v>
      </c>
      <c r="H55" s="251" t="s">
        <v>117</v>
      </c>
      <c r="I55" s="122">
        <v>8000</v>
      </c>
      <c r="J55" s="95">
        <v>6085.27</v>
      </c>
      <c r="K55" s="94">
        <v>11000</v>
      </c>
      <c r="L55" s="95">
        <v>1983.8</v>
      </c>
      <c r="M55" s="94">
        <v>11000</v>
      </c>
      <c r="N55" s="95">
        <v>10938.19</v>
      </c>
      <c r="O55" s="96">
        <v>4000</v>
      </c>
      <c r="P55" s="97">
        <v>0</v>
      </c>
      <c r="Q55" s="96">
        <v>3000</v>
      </c>
      <c r="R55" s="97">
        <v>0</v>
      </c>
      <c r="S55" s="125">
        <v>3000</v>
      </c>
      <c r="T55" s="125">
        <v>3000</v>
      </c>
      <c r="U55" s="125">
        <v>0</v>
      </c>
      <c r="V55" s="125">
        <v>3000</v>
      </c>
      <c r="W55" s="126">
        <v>0</v>
      </c>
      <c r="X55" s="267">
        <v>0</v>
      </c>
      <c r="Y55" s="268">
        <v>0</v>
      </c>
      <c r="Z55" s="269">
        <v>0</v>
      </c>
      <c r="AA55" s="270">
        <v>0</v>
      </c>
      <c r="AB55" s="269">
        <v>0</v>
      </c>
      <c r="AC55" s="270">
        <v>0</v>
      </c>
      <c r="AD55" s="269">
        <v>0</v>
      </c>
      <c r="AF55" s="269">
        <v>0</v>
      </c>
      <c r="AH55" s="269">
        <v>0</v>
      </c>
      <c r="AI55" s="269">
        <v>0</v>
      </c>
      <c r="AJ55" s="269">
        <v>0</v>
      </c>
      <c r="AK55" s="706"/>
      <c r="AM55" s="106"/>
      <c r="AN55" s="106"/>
    </row>
    <row r="56" spans="1:1026">
      <c r="A56" s="80">
        <v>5</v>
      </c>
      <c r="B56" s="14" t="s">
        <v>16</v>
      </c>
      <c r="C56" s="14">
        <v>1</v>
      </c>
      <c r="D56" s="14" t="s">
        <v>16</v>
      </c>
      <c r="E56" s="15" t="s">
        <v>86</v>
      </c>
      <c r="F56" s="14" t="s">
        <v>16</v>
      </c>
      <c r="G56" s="81" t="s">
        <v>118</v>
      </c>
      <c r="H56" s="251" t="s">
        <v>119</v>
      </c>
      <c r="I56" s="122">
        <v>3000</v>
      </c>
      <c r="J56" s="95">
        <v>2000</v>
      </c>
      <c r="K56" s="94">
        <v>3000</v>
      </c>
      <c r="L56" s="95">
        <v>980</v>
      </c>
      <c r="M56" s="94">
        <v>3000</v>
      </c>
      <c r="N56" s="95">
        <v>980</v>
      </c>
      <c r="O56" s="96">
        <v>3000</v>
      </c>
      <c r="P56" s="97">
        <v>0</v>
      </c>
      <c r="Q56" s="96">
        <v>3000</v>
      </c>
      <c r="R56" s="97">
        <v>0</v>
      </c>
      <c r="S56" s="99">
        <v>3000</v>
      </c>
      <c r="T56" s="99">
        <v>3000</v>
      </c>
      <c r="U56" s="99">
        <v>0</v>
      </c>
      <c r="V56" s="99">
        <v>3000</v>
      </c>
      <c r="W56" s="100">
        <v>0</v>
      </c>
      <c r="X56" s="101">
        <v>2000</v>
      </c>
      <c r="Y56" s="102">
        <v>0</v>
      </c>
      <c r="Z56" s="103">
        <v>2000</v>
      </c>
      <c r="AA56" s="104">
        <v>0</v>
      </c>
      <c r="AB56" s="103">
        <v>2000</v>
      </c>
      <c r="AC56" s="104">
        <v>0</v>
      </c>
      <c r="AD56" s="103">
        <v>2000</v>
      </c>
      <c r="AE56" s="104">
        <v>-440</v>
      </c>
      <c r="AF56" s="103">
        <v>2000</v>
      </c>
      <c r="AG56" s="666"/>
      <c r="AH56" s="103">
        <v>2000</v>
      </c>
      <c r="AI56" s="103">
        <v>2000</v>
      </c>
      <c r="AJ56" s="103">
        <v>2000</v>
      </c>
      <c r="AK56" s="706"/>
      <c r="AM56" s="106"/>
      <c r="AN56" s="106"/>
    </row>
    <row r="57" spans="1:1026">
      <c r="A57" s="80">
        <v>5</v>
      </c>
      <c r="B57" s="14" t="s">
        <v>16</v>
      </c>
      <c r="C57" s="14">
        <v>1</v>
      </c>
      <c r="D57" s="14" t="s">
        <v>16</v>
      </c>
      <c r="E57" s="15" t="s">
        <v>86</v>
      </c>
      <c r="F57" s="14" t="s">
        <v>16</v>
      </c>
      <c r="G57" s="81" t="s">
        <v>73</v>
      </c>
      <c r="H57" s="251" t="s">
        <v>111</v>
      </c>
      <c r="I57" s="94"/>
      <c r="J57" s="95"/>
      <c r="K57" s="94"/>
      <c r="L57" s="95"/>
      <c r="M57" s="95"/>
      <c r="N57" s="95"/>
      <c r="O57" s="96">
        <v>7200</v>
      </c>
      <c r="P57" s="97">
        <v>3924</v>
      </c>
      <c r="Q57" s="96">
        <v>7200</v>
      </c>
      <c r="R57" s="97">
        <v>5574</v>
      </c>
      <c r="S57" s="99">
        <f>40*10*9+40*11*3+20*10*9+20*11*3</f>
        <v>7380</v>
      </c>
      <c r="T57" s="99">
        <f>40*10*9+40*11*3+20*10*9+20*11*3</f>
        <v>7380</v>
      </c>
      <c r="U57" s="99">
        <v>-4300</v>
      </c>
      <c r="V57" s="99">
        <f>Semesterticket!B3*1+Semesterticket!B4*1</f>
        <v>14256824.4</v>
      </c>
      <c r="W57" s="100">
        <v>-5900</v>
      </c>
      <c r="X57" s="101">
        <f>[1]Tabelle1!B9+[1]Tabelle1!B10</f>
        <v>8640</v>
      </c>
      <c r="Y57" s="102">
        <v>-4800</v>
      </c>
      <c r="Z57" s="103">
        <f>2*40*12*8+3*40*15*4</f>
        <v>14880</v>
      </c>
      <c r="AA57" s="104">
        <v>-13840</v>
      </c>
      <c r="AB57" s="103">
        <f>3*40*15*12</f>
        <v>21600</v>
      </c>
      <c r="AC57" s="104">
        <v>-13840</v>
      </c>
      <c r="AD57" s="103">
        <f>3*40*15*12+6010</f>
        <v>27610</v>
      </c>
      <c r="AE57" s="270">
        <v>-25679.34</v>
      </c>
      <c r="AF57" s="842">
        <f>4*40*15*12</f>
        <v>28800</v>
      </c>
      <c r="AG57" s="666">
        <v>-12000</v>
      </c>
      <c r="AH57" s="842">
        <f>4*40*15*12</f>
        <v>28800</v>
      </c>
      <c r="AI57" s="842">
        <f>4*40*15*12</f>
        <v>28800</v>
      </c>
      <c r="AJ57" s="103">
        <f>4*40*15*12</f>
        <v>28800</v>
      </c>
      <c r="AK57" s="700" t="s">
        <v>425</v>
      </c>
      <c r="AM57" s="106"/>
      <c r="AN57" s="106"/>
    </row>
    <row r="58" spans="1:1026">
      <c r="A58" s="144"/>
      <c r="B58" s="680"/>
      <c r="C58" s="680"/>
      <c r="D58" s="680"/>
      <c r="E58" s="676"/>
      <c r="F58" s="680"/>
      <c r="G58" s="145"/>
      <c r="H58" s="146" t="s">
        <v>120</v>
      </c>
      <c r="I58" s="265">
        <f>SUM(I53:I57)</f>
        <v>11000</v>
      </c>
      <c r="J58" s="266">
        <f>SUM(J53:J57)</f>
        <v>8085.27</v>
      </c>
      <c r="K58" s="147">
        <f>SUM(K53:K57)</f>
        <v>14000</v>
      </c>
      <c r="L58" s="266">
        <f>SUM(L53:L57)</f>
        <v>2963.8</v>
      </c>
      <c r="M58" s="265">
        <f>SUM(M55:M57)</f>
        <v>14000</v>
      </c>
      <c r="N58" s="266">
        <f>SUM(N55:N57)</f>
        <v>11918.19</v>
      </c>
      <c r="O58" s="149">
        <f>SUM(O53:O57)</f>
        <v>23500</v>
      </c>
      <c r="P58" s="271">
        <f>SUM(P53:P57)</f>
        <v>8512.16</v>
      </c>
      <c r="Q58" s="272">
        <v>21525</v>
      </c>
      <c r="R58" s="271">
        <f>SUM(R53:R57)</f>
        <v>12112.16</v>
      </c>
      <c r="S58" s="273">
        <f>SUM(S53:S57)</f>
        <v>22680</v>
      </c>
      <c r="T58" s="273">
        <f>SUM(T53:T57)</f>
        <v>22680</v>
      </c>
      <c r="U58" s="273">
        <v>-8850</v>
      </c>
      <c r="V58" s="273">
        <f>SUM(V53:V57)</f>
        <v>14272244.4</v>
      </c>
      <c r="W58" s="274">
        <v>-11750</v>
      </c>
      <c r="X58" s="275">
        <f>SUM(X53:X57)</f>
        <v>20280</v>
      </c>
      <c r="Y58" s="276">
        <v>-8400</v>
      </c>
      <c r="Z58" s="275">
        <f>SUM(Z53:Z57)</f>
        <v>26720</v>
      </c>
      <c r="AA58" s="275">
        <f>SUM(AA53:AA57)</f>
        <v>-24198.66</v>
      </c>
      <c r="AB58" s="275">
        <f>SUM(AB53:AB57)</f>
        <v>33840</v>
      </c>
      <c r="AC58" s="874">
        <v>-23770.26</v>
      </c>
      <c r="AD58" s="275">
        <f t="shared" ref="AD58:AI58" si="21">SUM(AD53:AD57)</f>
        <v>40500</v>
      </c>
      <c r="AE58" s="275">
        <f t="shared" si="21"/>
        <v>-35449.339999999997</v>
      </c>
      <c r="AF58" s="275">
        <f t="shared" si="21"/>
        <v>41256</v>
      </c>
      <c r="AG58" s="275">
        <f t="shared" si="21"/>
        <v>-16728</v>
      </c>
      <c r="AH58" s="275">
        <f t="shared" si="21"/>
        <v>41256</v>
      </c>
      <c r="AI58" s="275">
        <f t="shared" si="21"/>
        <v>41256</v>
      </c>
      <c r="AJ58" s="275">
        <f>SUM(AJ53:AJ57)</f>
        <v>42600</v>
      </c>
      <c r="AK58" s="702"/>
      <c r="AM58" s="106"/>
      <c r="AN58" s="106"/>
    </row>
    <row r="59" spans="1:1026">
      <c r="A59" s="80"/>
      <c r="B59" s="14"/>
      <c r="C59" s="14"/>
      <c r="D59" s="14"/>
      <c r="E59" s="15"/>
      <c r="F59" s="14"/>
      <c r="G59" s="81"/>
      <c r="H59" s="278"/>
      <c r="I59" s="279"/>
      <c r="J59" s="280"/>
      <c r="K59" s="281"/>
      <c r="L59" s="280"/>
      <c r="M59" s="280"/>
      <c r="N59" s="280"/>
      <c r="O59" s="121"/>
      <c r="P59" s="282"/>
      <c r="Q59" s="121"/>
      <c r="R59" s="282"/>
      <c r="S59" s="283"/>
      <c r="T59" s="283"/>
      <c r="U59" s="283"/>
      <c r="V59" s="283"/>
      <c r="W59" s="284"/>
      <c r="X59" s="285"/>
      <c r="Y59" s="286"/>
      <c r="Z59" s="287"/>
      <c r="AA59" s="118"/>
      <c r="AB59" s="287"/>
      <c r="AC59" s="288"/>
      <c r="AD59" s="287"/>
      <c r="AE59" s="288"/>
      <c r="AF59" s="287"/>
      <c r="AG59" s="753"/>
      <c r="AH59" s="287"/>
      <c r="AI59" s="287"/>
      <c r="AJ59" s="287"/>
      <c r="AK59" s="700"/>
      <c r="AM59" s="106"/>
      <c r="AN59" s="106"/>
    </row>
    <row r="60" spans="1:1026">
      <c r="A60" s="66">
        <v>5</v>
      </c>
      <c r="B60" s="67" t="s">
        <v>16</v>
      </c>
      <c r="C60" s="67">
        <v>1</v>
      </c>
      <c r="D60" s="67" t="s">
        <v>16</v>
      </c>
      <c r="E60" s="68" t="s">
        <v>73</v>
      </c>
      <c r="F60" s="67" t="s">
        <v>16</v>
      </c>
      <c r="G60" s="69" t="s">
        <v>70</v>
      </c>
      <c r="H60" s="238" t="s">
        <v>121</v>
      </c>
      <c r="I60" s="239"/>
      <c r="J60" s="240"/>
      <c r="K60" s="239"/>
      <c r="L60" s="240"/>
      <c r="M60" s="240"/>
      <c r="N60" s="240"/>
      <c r="O60" s="241"/>
      <c r="P60" s="242"/>
      <c r="Q60" s="241"/>
      <c r="R60" s="242"/>
      <c r="S60" s="243"/>
      <c r="T60" s="243"/>
      <c r="U60" s="243"/>
      <c r="V60" s="243"/>
      <c r="W60" s="244"/>
      <c r="X60" s="245"/>
      <c r="Y60" s="246"/>
      <c r="Z60" s="247"/>
      <c r="AA60" s="176"/>
      <c r="AB60" s="247"/>
      <c r="AC60" s="248"/>
      <c r="AD60" s="247"/>
      <c r="AE60" s="248"/>
      <c r="AF60" s="247"/>
      <c r="AG60" s="752"/>
      <c r="AH60" s="247"/>
      <c r="AI60" s="247"/>
      <c r="AJ60" s="247"/>
      <c r="AK60" s="703"/>
      <c r="AM60" s="106"/>
      <c r="AN60" s="106"/>
    </row>
    <row r="61" spans="1:1026" s="902" customFormat="1">
      <c r="A61" s="882">
        <v>5</v>
      </c>
      <c r="B61" s="883" t="s">
        <v>16</v>
      </c>
      <c r="C61" s="883">
        <v>1</v>
      </c>
      <c r="D61" s="883" t="s">
        <v>16</v>
      </c>
      <c r="E61" s="884" t="s">
        <v>73</v>
      </c>
      <c r="F61" s="883" t="s">
        <v>16</v>
      </c>
      <c r="G61" s="885" t="s">
        <v>81</v>
      </c>
      <c r="H61" s="913" t="s">
        <v>122</v>
      </c>
      <c r="I61" s="916">
        <v>10000</v>
      </c>
      <c r="J61" s="915">
        <v>6841.45</v>
      </c>
      <c r="K61" s="916">
        <v>14000</v>
      </c>
      <c r="L61" s="915">
        <v>7067.69</v>
      </c>
      <c r="M61" s="916">
        <v>14000</v>
      </c>
      <c r="N61" s="915">
        <v>8124.44</v>
      </c>
      <c r="O61" s="917">
        <v>14000</v>
      </c>
      <c r="P61" s="957">
        <v>2377.41</v>
      </c>
      <c r="Q61" s="958">
        <v>8000</v>
      </c>
      <c r="R61" s="957">
        <v>2968.44</v>
      </c>
      <c r="S61" s="918">
        <v>10000</v>
      </c>
      <c r="T61" s="918">
        <v>10000</v>
      </c>
      <c r="U61" s="918">
        <v>-2136.44</v>
      </c>
      <c r="V61" s="918">
        <v>10000</v>
      </c>
      <c r="W61" s="948">
        <v>-3425.34</v>
      </c>
      <c r="X61" s="921">
        <v>10000</v>
      </c>
      <c r="Y61" s="922">
        <v>-1355.07</v>
      </c>
      <c r="Z61" s="959">
        <v>7000</v>
      </c>
      <c r="AA61" s="960">
        <v>-4129.6000000000004</v>
      </c>
      <c r="AB61" s="959">
        <v>7000</v>
      </c>
      <c r="AC61" s="960">
        <v>-4129.6000000000004</v>
      </c>
      <c r="AD61" s="959">
        <v>4000</v>
      </c>
      <c r="AE61" s="960">
        <v>-4399.96</v>
      </c>
      <c r="AF61" s="959">
        <v>4000</v>
      </c>
      <c r="AG61" s="961">
        <v>-2856.91</v>
      </c>
      <c r="AH61" s="959">
        <v>4500</v>
      </c>
      <c r="AI61" s="959">
        <v>6000</v>
      </c>
      <c r="AJ61" s="959">
        <v>6000</v>
      </c>
      <c r="AK61" s="962" t="s">
        <v>492</v>
      </c>
      <c r="AL61" s="899"/>
      <c r="AM61" s="900"/>
      <c r="AN61" s="900"/>
      <c r="AO61" s="901"/>
      <c r="AP61" s="901"/>
      <c r="AQ61" s="901"/>
      <c r="AR61" s="901"/>
      <c r="AS61" s="901"/>
      <c r="AT61" s="901"/>
      <c r="AU61" s="901"/>
      <c r="AV61" s="901"/>
      <c r="AW61" s="901"/>
      <c r="AX61" s="901"/>
      <c r="AY61" s="901"/>
      <c r="AZ61" s="901"/>
      <c r="BA61" s="901"/>
      <c r="BB61" s="901"/>
      <c r="BC61" s="901"/>
      <c r="BD61" s="901"/>
      <c r="BE61" s="901"/>
      <c r="BF61" s="901"/>
      <c r="BG61" s="901"/>
      <c r="BH61" s="901"/>
      <c r="BI61" s="901"/>
      <c r="BJ61" s="901"/>
      <c r="BK61" s="901"/>
      <c r="BL61" s="901"/>
      <c r="BM61" s="901"/>
      <c r="BN61" s="901"/>
      <c r="BO61" s="901"/>
      <c r="BP61" s="901"/>
      <c r="BQ61" s="901"/>
      <c r="BR61" s="901"/>
      <c r="BS61" s="901"/>
      <c r="BT61" s="901"/>
      <c r="BU61" s="901"/>
      <c r="BV61" s="901"/>
      <c r="BW61" s="901"/>
      <c r="BX61" s="901"/>
      <c r="BY61" s="901"/>
      <c r="BZ61" s="901"/>
      <c r="CA61" s="901"/>
      <c r="CB61" s="901"/>
      <c r="CC61" s="901"/>
      <c r="CD61" s="901"/>
      <c r="CE61" s="901"/>
      <c r="CF61" s="901"/>
      <c r="CG61" s="901"/>
      <c r="CH61" s="901"/>
      <c r="CI61" s="901"/>
      <c r="CJ61" s="901"/>
      <c r="CK61" s="901"/>
      <c r="CL61" s="901"/>
      <c r="CM61" s="901"/>
      <c r="CN61" s="901"/>
      <c r="CO61" s="901"/>
      <c r="CP61" s="901"/>
      <c r="CQ61" s="901"/>
      <c r="CR61" s="901"/>
      <c r="CS61" s="901"/>
      <c r="CT61" s="901"/>
      <c r="CU61" s="901"/>
      <c r="CV61" s="901"/>
      <c r="CW61" s="901"/>
      <c r="CX61" s="901"/>
      <c r="CY61" s="901"/>
      <c r="CZ61" s="901"/>
      <c r="DA61" s="901"/>
      <c r="DB61" s="901"/>
      <c r="DC61" s="901"/>
      <c r="DD61" s="901"/>
      <c r="DE61" s="901"/>
      <c r="DF61" s="901"/>
      <c r="DG61" s="901"/>
      <c r="DH61" s="901"/>
      <c r="DI61" s="901"/>
      <c r="DJ61" s="901"/>
      <c r="DK61" s="901"/>
      <c r="DL61" s="901"/>
      <c r="DM61" s="901"/>
      <c r="DN61" s="901"/>
      <c r="DO61" s="901"/>
      <c r="DP61" s="901"/>
      <c r="DQ61" s="901"/>
      <c r="DR61" s="901"/>
      <c r="DS61" s="901"/>
      <c r="DT61" s="901"/>
      <c r="DU61" s="901"/>
      <c r="DV61" s="901"/>
      <c r="DW61" s="901"/>
      <c r="DX61" s="901"/>
      <c r="DY61" s="901"/>
      <c r="DZ61" s="901"/>
      <c r="EA61" s="901"/>
      <c r="EB61" s="901"/>
      <c r="EC61" s="901"/>
      <c r="ED61" s="901"/>
      <c r="EE61" s="901"/>
      <c r="EF61" s="901"/>
      <c r="EG61" s="901"/>
      <c r="EH61" s="901"/>
      <c r="EI61" s="901"/>
      <c r="EJ61" s="901"/>
      <c r="EK61" s="901"/>
      <c r="EL61" s="901"/>
      <c r="EM61" s="901"/>
      <c r="EN61" s="901"/>
      <c r="EO61" s="901"/>
      <c r="EP61" s="901"/>
      <c r="EQ61" s="901"/>
      <c r="ER61" s="901"/>
      <c r="ES61" s="901"/>
      <c r="ET61" s="901"/>
      <c r="EU61" s="901"/>
      <c r="EV61" s="901"/>
      <c r="EW61" s="901"/>
      <c r="EX61" s="901"/>
      <c r="EY61" s="901"/>
      <c r="EZ61" s="901"/>
      <c r="FA61" s="901"/>
      <c r="FB61" s="901"/>
      <c r="FC61" s="901"/>
      <c r="FD61" s="901"/>
      <c r="FE61" s="901"/>
      <c r="FF61" s="901"/>
      <c r="FG61" s="901"/>
      <c r="FH61" s="901"/>
      <c r="FI61" s="901"/>
      <c r="FJ61" s="901"/>
      <c r="FK61" s="901"/>
      <c r="FL61" s="901"/>
      <c r="FM61" s="901"/>
      <c r="FN61" s="901"/>
      <c r="FO61" s="901"/>
      <c r="FP61" s="901"/>
      <c r="FQ61" s="901"/>
      <c r="FR61" s="901"/>
      <c r="FS61" s="901"/>
      <c r="FT61" s="901"/>
      <c r="FU61" s="901"/>
      <c r="FV61" s="901"/>
      <c r="FW61" s="901"/>
      <c r="FX61" s="901"/>
      <c r="FY61" s="901"/>
      <c r="FZ61" s="901"/>
      <c r="GA61" s="901"/>
      <c r="GB61" s="901"/>
      <c r="GC61" s="901"/>
      <c r="GD61" s="901"/>
      <c r="GE61" s="901"/>
      <c r="GF61" s="901"/>
      <c r="GG61" s="901"/>
      <c r="GH61" s="901"/>
      <c r="GI61" s="901"/>
      <c r="GJ61" s="901"/>
      <c r="GK61" s="901"/>
      <c r="GL61" s="901"/>
      <c r="GM61" s="901"/>
      <c r="GN61" s="901"/>
      <c r="GO61" s="901"/>
      <c r="GP61" s="901"/>
      <c r="GQ61" s="901"/>
      <c r="GR61" s="901"/>
      <c r="GS61" s="901"/>
      <c r="GT61" s="901"/>
      <c r="GU61" s="901"/>
      <c r="GV61" s="901"/>
      <c r="GW61" s="901"/>
      <c r="GX61" s="901"/>
      <c r="GY61" s="901"/>
      <c r="GZ61" s="901"/>
      <c r="HA61" s="901"/>
      <c r="HB61" s="901"/>
      <c r="HC61" s="901"/>
      <c r="HD61" s="901"/>
      <c r="HE61" s="901"/>
      <c r="HF61" s="901"/>
      <c r="HG61" s="901"/>
      <c r="HH61" s="901"/>
      <c r="HI61" s="901"/>
      <c r="HJ61" s="901"/>
      <c r="HK61" s="901"/>
      <c r="HL61" s="901"/>
      <c r="HM61" s="901"/>
      <c r="HN61" s="901"/>
      <c r="HO61" s="901"/>
      <c r="HP61" s="901"/>
      <c r="HQ61" s="901"/>
      <c r="HR61" s="901"/>
      <c r="HS61" s="901"/>
      <c r="HT61" s="901"/>
      <c r="HU61" s="901"/>
      <c r="HV61" s="901"/>
      <c r="HW61" s="901"/>
      <c r="HX61" s="901"/>
      <c r="HY61" s="901"/>
      <c r="HZ61" s="901"/>
      <c r="IA61" s="901"/>
      <c r="IB61" s="901"/>
      <c r="IC61" s="901"/>
      <c r="ID61" s="901"/>
      <c r="IE61" s="901"/>
      <c r="IF61" s="901"/>
      <c r="IG61" s="901"/>
      <c r="IH61" s="901"/>
      <c r="II61" s="901"/>
      <c r="IJ61" s="901"/>
      <c r="IK61" s="901"/>
      <c r="IL61" s="901"/>
      <c r="IM61" s="901"/>
      <c r="IN61" s="901"/>
      <c r="IO61" s="901"/>
      <c r="IP61" s="901"/>
      <c r="IQ61" s="901"/>
      <c r="IR61" s="901"/>
      <c r="IS61" s="901"/>
      <c r="IT61" s="901"/>
      <c r="IU61" s="901"/>
      <c r="IV61" s="901"/>
      <c r="IW61" s="901"/>
      <c r="IX61" s="901"/>
      <c r="IY61" s="901"/>
      <c r="IZ61" s="901"/>
      <c r="JA61" s="901"/>
      <c r="JB61" s="901"/>
      <c r="JC61" s="901"/>
      <c r="JD61" s="901"/>
      <c r="JE61" s="901"/>
      <c r="JF61" s="901"/>
      <c r="JG61" s="901"/>
      <c r="JH61" s="901"/>
      <c r="JI61" s="901"/>
      <c r="JJ61" s="901"/>
      <c r="JK61" s="901"/>
      <c r="JL61" s="901"/>
      <c r="JM61" s="901"/>
      <c r="JN61" s="901"/>
      <c r="JO61" s="901"/>
      <c r="JP61" s="901"/>
      <c r="JQ61" s="901"/>
      <c r="JR61" s="901"/>
      <c r="JS61" s="901"/>
      <c r="JT61" s="901"/>
      <c r="JU61" s="901"/>
      <c r="JV61" s="901"/>
      <c r="JW61" s="901"/>
      <c r="JX61" s="901"/>
      <c r="JY61" s="901"/>
      <c r="JZ61" s="901"/>
      <c r="KA61" s="901"/>
      <c r="KB61" s="901"/>
      <c r="KC61" s="901"/>
      <c r="KD61" s="901"/>
      <c r="KE61" s="901"/>
      <c r="KF61" s="901"/>
      <c r="KG61" s="901"/>
      <c r="KH61" s="901"/>
      <c r="KI61" s="901"/>
      <c r="KJ61" s="901"/>
      <c r="KK61" s="901"/>
      <c r="KL61" s="901"/>
      <c r="KM61" s="901"/>
      <c r="KN61" s="901"/>
      <c r="KO61" s="901"/>
      <c r="KP61" s="901"/>
      <c r="KQ61" s="901"/>
      <c r="KR61" s="901"/>
      <c r="KS61" s="901"/>
      <c r="KT61" s="901"/>
      <c r="KU61" s="901"/>
      <c r="KV61" s="901"/>
      <c r="KW61" s="901"/>
      <c r="KX61" s="901"/>
      <c r="KY61" s="901"/>
      <c r="KZ61" s="901"/>
      <c r="LA61" s="901"/>
      <c r="LB61" s="901"/>
      <c r="LC61" s="901"/>
      <c r="LD61" s="901"/>
      <c r="LE61" s="901"/>
      <c r="LF61" s="901"/>
      <c r="LG61" s="901"/>
      <c r="LH61" s="901"/>
      <c r="LI61" s="901"/>
      <c r="LJ61" s="901"/>
      <c r="LK61" s="901"/>
      <c r="LL61" s="901"/>
      <c r="LM61" s="901"/>
      <c r="LN61" s="901"/>
      <c r="LO61" s="901"/>
      <c r="LP61" s="901"/>
      <c r="LQ61" s="901"/>
      <c r="LR61" s="901"/>
      <c r="LS61" s="901"/>
      <c r="LT61" s="901"/>
      <c r="LU61" s="901"/>
      <c r="LV61" s="901"/>
      <c r="LW61" s="901"/>
      <c r="LX61" s="901"/>
      <c r="LY61" s="901"/>
      <c r="LZ61" s="901"/>
      <c r="MA61" s="901"/>
      <c r="MB61" s="901"/>
      <c r="MC61" s="901"/>
      <c r="MD61" s="901"/>
      <c r="ME61" s="901"/>
      <c r="MF61" s="901"/>
      <c r="MG61" s="901"/>
      <c r="MH61" s="901"/>
      <c r="MI61" s="901"/>
      <c r="MJ61" s="901"/>
      <c r="MK61" s="901"/>
      <c r="ML61" s="901"/>
      <c r="MM61" s="901"/>
      <c r="MN61" s="901"/>
      <c r="MO61" s="901"/>
      <c r="MP61" s="901"/>
      <c r="MQ61" s="901"/>
      <c r="MR61" s="901"/>
      <c r="MS61" s="901"/>
      <c r="MT61" s="901"/>
      <c r="MU61" s="901"/>
      <c r="MV61" s="901"/>
      <c r="MW61" s="901"/>
      <c r="MX61" s="901"/>
      <c r="MY61" s="901"/>
      <c r="MZ61" s="901"/>
      <c r="NA61" s="901"/>
      <c r="NB61" s="901"/>
      <c r="NC61" s="901"/>
      <c r="ND61" s="901"/>
      <c r="NE61" s="901"/>
      <c r="NF61" s="901"/>
      <c r="NG61" s="901"/>
      <c r="NH61" s="901"/>
      <c r="NI61" s="901"/>
      <c r="NJ61" s="901"/>
      <c r="NK61" s="901"/>
      <c r="NL61" s="901"/>
      <c r="NM61" s="901"/>
      <c r="NN61" s="901"/>
      <c r="NO61" s="901"/>
      <c r="NP61" s="901"/>
      <c r="NQ61" s="901"/>
      <c r="NR61" s="901"/>
      <c r="NS61" s="901"/>
      <c r="NT61" s="901"/>
      <c r="NU61" s="901"/>
      <c r="NV61" s="901"/>
      <c r="NW61" s="901"/>
      <c r="NX61" s="901"/>
      <c r="NY61" s="901"/>
      <c r="NZ61" s="901"/>
      <c r="OA61" s="901"/>
      <c r="OB61" s="901"/>
      <c r="OC61" s="901"/>
      <c r="OD61" s="901"/>
      <c r="OE61" s="901"/>
      <c r="OF61" s="901"/>
      <c r="OG61" s="901"/>
      <c r="OH61" s="901"/>
      <c r="OI61" s="901"/>
      <c r="OJ61" s="901"/>
      <c r="OK61" s="901"/>
      <c r="OL61" s="901"/>
      <c r="OM61" s="901"/>
      <c r="ON61" s="901"/>
      <c r="OO61" s="901"/>
      <c r="OP61" s="901"/>
      <c r="OQ61" s="901"/>
      <c r="OR61" s="901"/>
      <c r="OS61" s="901"/>
      <c r="OT61" s="901"/>
      <c r="OU61" s="901"/>
      <c r="OV61" s="901"/>
      <c r="OW61" s="901"/>
      <c r="OX61" s="901"/>
      <c r="OY61" s="901"/>
      <c r="OZ61" s="901"/>
      <c r="PA61" s="901"/>
      <c r="PB61" s="901"/>
      <c r="PC61" s="901"/>
      <c r="PD61" s="901"/>
      <c r="PE61" s="901"/>
      <c r="PF61" s="901"/>
      <c r="PG61" s="901"/>
      <c r="PH61" s="901"/>
      <c r="PI61" s="901"/>
      <c r="PJ61" s="901"/>
      <c r="PK61" s="901"/>
      <c r="PL61" s="901"/>
      <c r="PM61" s="901"/>
      <c r="PN61" s="901"/>
      <c r="PO61" s="901"/>
      <c r="PP61" s="901"/>
      <c r="PQ61" s="901"/>
      <c r="PR61" s="901"/>
      <c r="PS61" s="901"/>
      <c r="PT61" s="901"/>
      <c r="PU61" s="901"/>
      <c r="PV61" s="901"/>
      <c r="PW61" s="901"/>
      <c r="PX61" s="901"/>
      <c r="PY61" s="901"/>
      <c r="PZ61" s="901"/>
      <c r="QA61" s="901"/>
      <c r="QB61" s="901"/>
      <c r="QC61" s="901"/>
      <c r="QD61" s="901"/>
      <c r="QE61" s="901"/>
      <c r="QF61" s="901"/>
      <c r="QG61" s="901"/>
      <c r="QH61" s="901"/>
      <c r="QI61" s="901"/>
      <c r="QJ61" s="901"/>
      <c r="QK61" s="901"/>
      <c r="QL61" s="901"/>
      <c r="QM61" s="901"/>
      <c r="QN61" s="901"/>
      <c r="QO61" s="901"/>
      <c r="QP61" s="901"/>
      <c r="QQ61" s="901"/>
      <c r="QR61" s="901"/>
      <c r="QS61" s="901"/>
      <c r="QT61" s="901"/>
      <c r="QU61" s="901"/>
      <c r="QV61" s="901"/>
      <c r="QW61" s="901"/>
      <c r="QX61" s="901"/>
      <c r="QY61" s="901"/>
      <c r="QZ61" s="901"/>
      <c r="RA61" s="901"/>
      <c r="RB61" s="901"/>
      <c r="RC61" s="901"/>
      <c r="RD61" s="901"/>
      <c r="RE61" s="901"/>
      <c r="RF61" s="901"/>
      <c r="RG61" s="901"/>
      <c r="RH61" s="901"/>
      <c r="RI61" s="901"/>
      <c r="RJ61" s="901"/>
      <c r="RK61" s="901"/>
      <c r="RL61" s="901"/>
      <c r="RM61" s="901"/>
      <c r="RN61" s="901"/>
      <c r="RO61" s="901"/>
      <c r="RP61" s="901"/>
      <c r="RQ61" s="901"/>
      <c r="RR61" s="901"/>
      <c r="RS61" s="901"/>
      <c r="RT61" s="901"/>
      <c r="RU61" s="901"/>
      <c r="RV61" s="901"/>
      <c r="RW61" s="901"/>
      <c r="RX61" s="901"/>
      <c r="RY61" s="901"/>
      <c r="RZ61" s="901"/>
      <c r="SA61" s="901"/>
      <c r="SB61" s="901"/>
      <c r="SC61" s="901"/>
      <c r="SD61" s="901"/>
      <c r="SE61" s="901"/>
      <c r="SF61" s="901"/>
      <c r="SG61" s="901"/>
      <c r="SH61" s="901"/>
      <c r="SI61" s="901"/>
      <c r="SJ61" s="901"/>
      <c r="SK61" s="901"/>
      <c r="SL61" s="901"/>
      <c r="SM61" s="901"/>
      <c r="SN61" s="901"/>
      <c r="SO61" s="901"/>
      <c r="SP61" s="901"/>
      <c r="SQ61" s="901"/>
      <c r="SR61" s="901"/>
      <c r="SS61" s="901"/>
      <c r="ST61" s="901"/>
      <c r="SU61" s="901"/>
      <c r="SV61" s="901"/>
      <c r="SW61" s="901"/>
      <c r="SX61" s="901"/>
      <c r="SY61" s="901"/>
      <c r="SZ61" s="901"/>
      <c r="TA61" s="901"/>
      <c r="TB61" s="901"/>
      <c r="TC61" s="901"/>
      <c r="TD61" s="901"/>
      <c r="TE61" s="901"/>
      <c r="TF61" s="901"/>
      <c r="TG61" s="901"/>
      <c r="TH61" s="901"/>
      <c r="TI61" s="901"/>
      <c r="TJ61" s="901"/>
      <c r="TK61" s="901"/>
      <c r="TL61" s="901"/>
      <c r="TM61" s="901"/>
      <c r="TN61" s="901"/>
      <c r="TO61" s="901"/>
      <c r="TP61" s="901"/>
      <c r="TQ61" s="901"/>
      <c r="TR61" s="901"/>
      <c r="TS61" s="901"/>
      <c r="TT61" s="901"/>
      <c r="TU61" s="901"/>
      <c r="TV61" s="901"/>
      <c r="TW61" s="901"/>
      <c r="TX61" s="901"/>
      <c r="TY61" s="901"/>
      <c r="TZ61" s="901"/>
      <c r="UA61" s="901"/>
      <c r="UB61" s="901"/>
      <c r="UC61" s="901"/>
      <c r="UD61" s="901"/>
      <c r="UE61" s="901"/>
      <c r="UF61" s="901"/>
      <c r="UG61" s="901"/>
      <c r="UH61" s="901"/>
      <c r="UI61" s="901"/>
      <c r="UJ61" s="901"/>
      <c r="UK61" s="901"/>
      <c r="UL61" s="901"/>
      <c r="UM61" s="901"/>
      <c r="UN61" s="901"/>
      <c r="UO61" s="901"/>
      <c r="UP61" s="901"/>
      <c r="UQ61" s="901"/>
      <c r="UR61" s="901"/>
      <c r="US61" s="901"/>
      <c r="UT61" s="901"/>
      <c r="UU61" s="901"/>
      <c r="UV61" s="901"/>
      <c r="UW61" s="901"/>
      <c r="UX61" s="901"/>
      <c r="UY61" s="901"/>
      <c r="UZ61" s="901"/>
      <c r="VA61" s="901"/>
      <c r="VB61" s="901"/>
      <c r="VC61" s="901"/>
      <c r="VD61" s="901"/>
      <c r="VE61" s="901"/>
      <c r="VF61" s="901"/>
      <c r="VG61" s="901"/>
      <c r="VH61" s="901"/>
      <c r="VI61" s="901"/>
      <c r="VJ61" s="901"/>
      <c r="VK61" s="901"/>
      <c r="VL61" s="901"/>
      <c r="VM61" s="901"/>
      <c r="VN61" s="901"/>
      <c r="VO61" s="901"/>
      <c r="VP61" s="901"/>
      <c r="VQ61" s="901"/>
      <c r="VR61" s="901"/>
      <c r="VS61" s="901"/>
      <c r="VT61" s="901"/>
      <c r="VU61" s="901"/>
      <c r="VV61" s="901"/>
      <c r="VW61" s="901"/>
      <c r="VX61" s="901"/>
      <c r="VY61" s="901"/>
      <c r="VZ61" s="901"/>
      <c r="WA61" s="901"/>
      <c r="WB61" s="901"/>
      <c r="WC61" s="901"/>
      <c r="WD61" s="901"/>
      <c r="WE61" s="901"/>
      <c r="WF61" s="901"/>
      <c r="WG61" s="901"/>
      <c r="WH61" s="901"/>
      <c r="WI61" s="901"/>
      <c r="WJ61" s="901"/>
      <c r="WK61" s="901"/>
      <c r="WL61" s="901"/>
      <c r="WM61" s="901"/>
      <c r="WN61" s="901"/>
      <c r="WO61" s="901"/>
      <c r="WP61" s="901"/>
      <c r="WQ61" s="901"/>
      <c r="WR61" s="901"/>
      <c r="WS61" s="901"/>
      <c r="WT61" s="901"/>
      <c r="WU61" s="901"/>
      <c r="WV61" s="901"/>
      <c r="WW61" s="901"/>
      <c r="WX61" s="901"/>
      <c r="WY61" s="901"/>
      <c r="WZ61" s="901"/>
      <c r="XA61" s="901"/>
      <c r="XB61" s="901"/>
      <c r="XC61" s="901"/>
      <c r="XD61" s="901"/>
      <c r="XE61" s="901"/>
      <c r="XF61" s="901"/>
      <c r="XG61" s="901"/>
      <c r="XH61" s="901"/>
      <c r="XI61" s="901"/>
      <c r="XJ61" s="901"/>
      <c r="XK61" s="901"/>
      <c r="XL61" s="901"/>
      <c r="XM61" s="901"/>
      <c r="XN61" s="901"/>
      <c r="XO61" s="901"/>
      <c r="XP61" s="901"/>
      <c r="XQ61" s="901"/>
      <c r="XR61" s="901"/>
      <c r="XS61" s="901"/>
      <c r="XT61" s="901"/>
      <c r="XU61" s="901"/>
      <c r="XV61" s="901"/>
      <c r="XW61" s="901"/>
      <c r="XX61" s="901"/>
      <c r="XY61" s="901"/>
      <c r="XZ61" s="901"/>
      <c r="YA61" s="901"/>
      <c r="YB61" s="901"/>
      <c r="YC61" s="901"/>
      <c r="YD61" s="901"/>
      <c r="YE61" s="901"/>
      <c r="YF61" s="901"/>
      <c r="YG61" s="901"/>
      <c r="YH61" s="901"/>
      <c r="YI61" s="901"/>
      <c r="YJ61" s="901"/>
      <c r="YK61" s="901"/>
      <c r="YL61" s="901"/>
      <c r="YM61" s="901"/>
      <c r="YN61" s="901"/>
      <c r="YO61" s="901"/>
      <c r="YP61" s="901"/>
      <c r="YQ61" s="901"/>
      <c r="YR61" s="901"/>
      <c r="YS61" s="901"/>
      <c r="YT61" s="901"/>
      <c r="YU61" s="901"/>
      <c r="YV61" s="901"/>
      <c r="YW61" s="901"/>
      <c r="YX61" s="901"/>
      <c r="YY61" s="901"/>
      <c r="YZ61" s="901"/>
      <c r="ZA61" s="901"/>
      <c r="ZB61" s="901"/>
      <c r="ZC61" s="901"/>
      <c r="ZD61" s="901"/>
      <c r="ZE61" s="901"/>
      <c r="ZF61" s="901"/>
      <c r="ZG61" s="901"/>
      <c r="ZH61" s="901"/>
      <c r="ZI61" s="901"/>
      <c r="ZJ61" s="901"/>
      <c r="ZK61" s="901"/>
      <c r="ZL61" s="901"/>
      <c r="ZM61" s="901"/>
      <c r="ZN61" s="901"/>
      <c r="ZO61" s="901"/>
      <c r="ZP61" s="901"/>
      <c r="ZQ61" s="901"/>
      <c r="ZR61" s="901"/>
      <c r="ZS61" s="901"/>
      <c r="ZT61" s="901"/>
      <c r="ZU61" s="901"/>
      <c r="ZV61" s="901"/>
      <c r="ZW61" s="901"/>
      <c r="ZX61" s="901"/>
      <c r="ZY61" s="901"/>
      <c r="ZZ61" s="901"/>
      <c r="AAA61" s="901"/>
      <c r="AAB61" s="901"/>
      <c r="AAC61" s="901"/>
      <c r="AAD61" s="901"/>
      <c r="AAE61" s="901"/>
      <c r="AAF61" s="901"/>
      <c r="AAG61" s="901"/>
      <c r="AAH61" s="901"/>
      <c r="AAI61" s="901"/>
      <c r="AAJ61" s="901"/>
      <c r="AAK61" s="901"/>
      <c r="AAL61" s="901"/>
      <c r="AAM61" s="901"/>
      <c r="AAN61" s="901"/>
      <c r="AAO61" s="901"/>
      <c r="AAP61" s="901"/>
      <c r="AAQ61" s="901"/>
      <c r="AAR61" s="901"/>
      <c r="AAS61" s="901"/>
      <c r="AAT61" s="901"/>
      <c r="AAU61" s="901"/>
      <c r="AAV61" s="901"/>
      <c r="AAW61" s="901"/>
      <c r="AAX61" s="901"/>
      <c r="AAY61" s="901"/>
      <c r="AAZ61" s="901"/>
      <c r="ABA61" s="901"/>
      <c r="ABB61" s="901"/>
      <c r="ABC61" s="901"/>
      <c r="ABD61" s="901"/>
      <c r="ABE61" s="901"/>
      <c r="ABF61" s="901"/>
      <c r="ABG61" s="901"/>
      <c r="ABH61" s="901"/>
      <c r="ABI61" s="901"/>
      <c r="ABJ61" s="901"/>
      <c r="ABK61" s="901"/>
      <c r="ABL61" s="901"/>
      <c r="ABM61" s="901"/>
      <c r="ABN61" s="901"/>
      <c r="ABO61" s="901"/>
      <c r="ABP61" s="901"/>
      <c r="ABQ61" s="901"/>
      <c r="ABR61" s="901"/>
      <c r="ABS61" s="901"/>
      <c r="ABT61" s="901"/>
      <c r="ABU61" s="901"/>
      <c r="ABV61" s="901"/>
      <c r="ABW61" s="901"/>
      <c r="ABX61" s="901"/>
      <c r="ABY61" s="901"/>
      <c r="ABZ61" s="901"/>
      <c r="ACA61" s="901"/>
      <c r="ACB61" s="901"/>
      <c r="ACC61" s="901"/>
      <c r="ACD61" s="901"/>
      <c r="ACE61" s="901"/>
      <c r="ACF61" s="901"/>
      <c r="ACG61" s="901"/>
      <c r="ACH61" s="901"/>
      <c r="ACI61" s="901"/>
      <c r="ACJ61" s="901"/>
      <c r="ACK61" s="901"/>
      <c r="ACL61" s="901"/>
      <c r="ACM61" s="901"/>
      <c r="ACN61" s="901"/>
      <c r="ACO61" s="901"/>
      <c r="ACP61" s="901"/>
      <c r="ACQ61" s="901"/>
      <c r="ACR61" s="901"/>
      <c r="ACS61" s="901"/>
      <c r="ACT61" s="901"/>
      <c r="ACU61" s="901"/>
      <c r="ACV61" s="901"/>
      <c r="ACW61" s="901"/>
      <c r="ACX61" s="901"/>
      <c r="ACY61" s="901"/>
      <c r="ACZ61" s="901"/>
      <c r="ADA61" s="901"/>
      <c r="ADB61" s="901"/>
      <c r="ADC61" s="901"/>
      <c r="ADD61" s="901"/>
      <c r="ADE61" s="901"/>
      <c r="ADF61" s="901"/>
      <c r="ADG61" s="901"/>
      <c r="ADH61" s="901"/>
      <c r="ADI61" s="901"/>
      <c r="ADJ61" s="901"/>
      <c r="ADK61" s="901"/>
      <c r="ADL61" s="901"/>
      <c r="ADM61" s="901"/>
      <c r="ADN61" s="901"/>
      <c r="ADO61" s="901"/>
      <c r="ADP61" s="901"/>
      <c r="ADQ61" s="901"/>
      <c r="ADR61" s="901"/>
      <c r="ADS61" s="901"/>
      <c r="ADT61" s="901"/>
      <c r="ADU61" s="901"/>
      <c r="ADV61" s="901"/>
      <c r="ADW61" s="901"/>
      <c r="ADX61" s="901"/>
      <c r="ADY61" s="901"/>
      <c r="ADZ61" s="901"/>
      <c r="AEA61" s="901"/>
      <c r="AEB61" s="901"/>
      <c r="AEC61" s="901"/>
      <c r="AED61" s="901"/>
      <c r="AEE61" s="901"/>
      <c r="AEF61" s="901"/>
      <c r="AEG61" s="901"/>
      <c r="AEH61" s="901"/>
      <c r="AEI61" s="901"/>
      <c r="AEJ61" s="901"/>
      <c r="AEK61" s="901"/>
      <c r="AEL61" s="901"/>
      <c r="AEM61" s="901"/>
      <c r="AEN61" s="901"/>
      <c r="AEO61" s="901"/>
      <c r="AEP61" s="901"/>
      <c r="AEQ61" s="901"/>
      <c r="AER61" s="901"/>
      <c r="AES61" s="901"/>
      <c r="AET61" s="901"/>
      <c r="AEU61" s="901"/>
      <c r="AEV61" s="901"/>
      <c r="AEW61" s="901"/>
      <c r="AEX61" s="901"/>
      <c r="AEY61" s="901"/>
      <c r="AEZ61" s="901"/>
      <c r="AFA61" s="901"/>
      <c r="AFB61" s="901"/>
      <c r="AFC61" s="901"/>
      <c r="AFD61" s="901"/>
      <c r="AFE61" s="901"/>
      <c r="AFF61" s="901"/>
      <c r="AFG61" s="901"/>
      <c r="AFH61" s="901"/>
      <c r="AFI61" s="901"/>
      <c r="AFJ61" s="901"/>
      <c r="AFK61" s="901"/>
      <c r="AFL61" s="901"/>
      <c r="AFM61" s="901"/>
      <c r="AFN61" s="901"/>
      <c r="AFO61" s="901"/>
      <c r="AFP61" s="901"/>
      <c r="AFQ61" s="901"/>
      <c r="AFR61" s="901"/>
      <c r="AFS61" s="901"/>
      <c r="AFT61" s="901"/>
      <c r="AFU61" s="901"/>
      <c r="AFV61" s="901"/>
      <c r="AFW61" s="901"/>
      <c r="AFX61" s="901"/>
      <c r="AFY61" s="901"/>
      <c r="AFZ61" s="901"/>
      <c r="AGA61" s="901"/>
      <c r="AGB61" s="901"/>
      <c r="AGC61" s="901"/>
      <c r="AGD61" s="901"/>
      <c r="AGE61" s="901"/>
      <c r="AGF61" s="901"/>
      <c r="AGG61" s="901"/>
      <c r="AGH61" s="901"/>
      <c r="AGI61" s="901"/>
      <c r="AGJ61" s="901"/>
      <c r="AGK61" s="901"/>
      <c r="AGL61" s="901"/>
      <c r="AGM61" s="901"/>
      <c r="AGN61" s="901"/>
      <c r="AGO61" s="901"/>
      <c r="AGP61" s="901"/>
      <c r="AGQ61" s="901"/>
      <c r="AGR61" s="901"/>
      <c r="AGS61" s="901"/>
      <c r="AGT61" s="901"/>
      <c r="AGU61" s="901"/>
      <c r="AGV61" s="901"/>
      <c r="AGW61" s="901"/>
      <c r="AGX61" s="901"/>
      <c r="AGY61" s="901"/>
      <c r="AGZ61" s="901"/>
      <c r="AHA61" s="901"/>
      <c r="AHB61" s="901"/>
      <c r="AHC61" s="901"/>
      <c r="AHD61" s="901"/>
      <c r="AHE61" s="901"/>
      <c r="AHF61" s="901"/>
      <c r="AHG61" s="901"/>
      <c r="AHH61" s="901"/>
      <c r="AHI61" s="901"/>
      <c r="AHJ61" s="901"/>
      <c r="AHK61" s="901"/>
      <c r="AHL61" s="901"/>
      <c r="AHM61" s="901"/>
      <c r="AHN61" s="901"/>
      <c r="AHO61" s="901"/>
      <c r="AHP61" s="901"/>
      <c r="AHQ61" s="901"/>
      <c r="AHR61" s="901"/>
      <c r="AHS61" s="901"/>
      <c r="AHT61" s="901"/>
      <c r="AHU61" s="901"/>
      <c r="AHV61" s="901"/>
      <c r="AHW61" s="901"/>
      <c r="AHX61" s="901"/>
      <c r="AHY61" s="901"/>
      <c r="AHZ61" s="901"/>
      <c r="AIA61" s="901"/>
      <c r="AIB61" s="901"/>
      <c r="AIC61" s="901"/>
      <c r="AID61" s="901"/>
      <c r="AIE61" s="901"/>
      <c r="AIF61" s="901"/>
      <c r="AIG61" s="901"/>
      <c r="AIH61" s="901"/>
      <c r="AII61" s="901"/>
      <c r="AIJ61" s="901"/>
      <c r="AIK61" s="901"/>
      <c r="AIL61" s="901"/>
      <c r="AIM61" s="901"/>
      <c r="AIN61" s="901"/>
      <c r="AIO61" s="901"/>
      <c r="AIP61" s="901"/>
      <c r="AIQ61" s="901"/>
      <c r="AIR61" s="901"/>
      <c r="AIS61" s="901"/>
      <c r="AIT61" s="901"/>
      <c r="AIU61" s="901"/>
      <c r="AIV61" s="901"/>
      <c r="AIW61" s="901"/>
      <c r="AIX61" s="901"/>
      <c r="AIY61" s="901"/>
      <c r="AIZ61" s="901"/>
      <c r="AJA61" s="901"/>
      <c r="AJB61" s="901"/>
      <c r="AJC61" s="901"/>
      <c r="AJD61" s="901"/>
      <c r="AJE61" s="901"/>
      <c r="AJF61" s="901"/>
      <c r="AJG61" s="901"/>
      <c r="AJH61" s="901"/>
      <c r="AJI61" s="901"/>
      <c r="AJJ61" s="901"/>
      <c r="AJK61" s="901"/>
      <c r="AJL61" s="901"/>
      <c r="AJM61" s="901"/>
      <c r="AJN61" s="901"/>
      <c r="AJO61" s="901"/>
      <c r="AJP61" s="901"/>
      <c r="AJQ61" s="901"/>
      <c r="AJR61" s="901"/>
      <c r="AJS61" s="901"/>
      <c r="AJT61" s="901"/>
      <c r="AJU61" s="901"/>
      <c r="AJV61" s="901"/>
      <c r="AJW61" s="901"/>
      <c r="AJX61" s="901"/>
      <c r="AJY61" s="901"/>
      <c r="AJZ61" s="901"/>
      <c r="AKA61" s="901"/>
      <c r="AKB61" s="901"/>
      <c r="AKC61" s="901"/>
      <c r="AKD61" s="901"/>
      <c r="AKE61" s="901"/>
      <c r="AKF61" s="901"/>
      <c r="AKG61" s="901"/>
      <c r="AKH61" s="901"/>
      <c r="AKI61" s="901"/>
      <c r="AKJ61" s="901"/>
      <c r="AKK61" s="901"/>
      <c r="AKL61" s="901"/>
      <c r="AKM61" s="901"/>
      <c r="AKN61" s="901"/>
      <c r="AKO61" s="901"/>
      <c r="AKP61" s="901"/>
      <c r="AKQ61" s="901"/>
      <c r="AKR61" s="901"/>
      <c r="AKS61" s="901"/>
      <c r="AKT61" s="901"/>
      <c r="AKU61" s="901"/>
      <c r="AKV61" s="901"/>
      <c r="AKW61" s="901"/>
      <c r="AKX61" s="901"/>
      <c r="AKY61" s="901"/>
      <c r="AKZ61" s="901"/>
      <c r="ALA61" s="901"/>
      <c r="ALB61" s="901"/>
      <c r="ALC61" s="901"/>
      <c r="ALD61" s="901"/>
      <c r="ALE61" s="901"/>
      <c r="ALF61" s="901"/>
      <c r="ALG61" s="901"/>
      <c r="ALH61" s="901"/>
      <c r="ALI61" s="901"/>
      <c r="ALJ61" s="901"/>
      <c r="ALK61" s="901"/>
      <c r="ALL61" s="901"/>
      <c r="ALM61" s="901"/>
      <c r="ALN61" s="901"/>
      <c r="ALO61" s="901"/>
      <c r="ALP61" s="901"/>
      <c r="ALQ61" s="901"/>
      <c r="ALR61" s="901"/>
      <c r="ALS61" s="901"/>
      <c r="ALT61" s="901"/>
      <c r="ALU61" s="901"/>
      <c r="ALV61" s="901"/>
      <c r="ALW61" s="901"/>
      <c r="ALX61" s="901"/>
      <c r="ALY61" s="901"/>
      <c r="ALZ61" s="901"/>
      <c r="AMA61" s="901"/>
      <c r="AMB61" s="901"/>
      <c r="AMC61" s="901"/>
      <c r="AMD61" s="901"/>
      <c r="AME61" s="901"/>
      <c r="AMF61" s="901"/>
      <c r="AMG61" s="901"/>
      <c r="AMH61" s="901"/>
      <c r="AMI61" s="901"/>
      <c r="AMJ61" s="901"/>
      <c r="AMK61" s="901"/>
      <c r="AML61" s="901"/>
    </row>
    <row r="62" spans="1:1026">
      <c r="A62" s="80">
        <v>5</v>
      </c>
      <c r="B62" s="14" t="s">
        <v>16</v>
      </c>
      <c r="C62" s="14">
        <v>1</v>
      </c>
      <c r="D62" s="14" t="s">
        <v>16</v>
      </c>
      <c r="E62" s="15" t="s">
        <v>73</v>
      </c>
      <c r="F62" s="14" t="s">
        <v>16</v>
      </c>
      <c r="G62" s="81" t="s">
        <v>84</v>
      </c>
      <c r="H62" s="251" t="s">
        <v>123</v>
      </c>
      <c r="I62" s="83">
        <v>16000</v>
      </c>
      <c r="J62" s="84">
        <v>17607.62</v>
      </c>
      <c r="K62" s="94">
        <v>21600</v>
      </c>
      <c r="L62" s="95">
        <v>17621.099999999999</v>
      </c>
      <c r="M62" s="94">
        <v>21600</v>
      </c>
      <c r="N62" s="95">
        <v>22896.68</v>
      </c>
      <c r="O62" s="96">
        <v>21600</v>
      </c>
      <c r="P62" s="97">
        <v>12600</v>
      </c>
      <c r="Q62" s="98">
        <v>21000</v>
      </c>
      <c r="R62" s="97">
        <v>15840</v>
      </c>
      <c r="S62" s="99">
        <v>25000</v>
      </c>
      <c r="T62" s="99">
        <v>25000</v>
      </c>
      <c r="U62" s="99">
        <v>-10455</v>
      </c>
      <c r="V62" s="99">
        <f>ROUNDUP((4*379.5+429)*7+(4*12*34.5+12*39)*3,-2)</f>
        <v>20100</v>
      </c>
      <c r="W62" s="100">
        <v>-14349</v>
      </c>
      <c r="X62" s="101">
        <f>[1]Tabelle1!B9*4+[1]Tabelle1!B10</f>
        <v>25920</v>
      </c>
      <c r="Y62" s="102">
        <v>-8833.2099999999991</v>
      </c>
      <c r="Z62" s="132">
        <f>ROUNDDOWN(40*12*15*4.5,-4)</f>
        <v>30000</v>
      </c>
      <c r="AA62" s="133">
        <v>-24760.21</v>
      </c>
      <c r="AB62" s="132">
        <f>ROUNDDOWN(40*12*15*4.5,-4)</f>
        <v>30000</v>
      </c>
      <c r="AC62" s="133">
        <v>-24760.21</v>
      </c>
      <c r="AD62" s="132">
        <f>ROUNDDOWN(40*12*15*4.5,-4)-2180</f>
        <v>27820</v>
      </c>
      <c r="AE62" s="133">
        <v>-27898.95</v>
      </c>
      <c r="AF62" s="843">
        <f>2587.5*12</f>
        <v>31050</v>
      </c>
      <c r="AG62" s="684">
        <v>-14248.5</v>
      </c>
      <c r="AH62" s="843">
        <f>2587.5*12</f>
        <v>31050</v>
      </c>
      <c r="AI62" s="843">
        <f>2587.5*12</f>
        <v>31050</v>
      </c>
      <c r="AJ62" s="1038">
        <f>2587.5*12</f>
        <v>31050</v>
      </c>
      <c r="AK62" s="701" t="s">
        <v>426</v>
      </c>
      <c r="AM62" s="106"/>
      <c r="AN62" s="106"/>
    </row>
    <row r="63" spans="1:1026">
      <c r="A63" s="144"/>
      <c r="B63" s="680"/>
      <c r="C63" s="680"/>
      <c r="D63" s="680"/>
      <c r="E63" s="676"/>
      <c r="F63" s="680"/>
      <c r="G63" s="145"/>
      <c r="H63" s="146" t="s">
        <v>124</v>
      </c>
      <c r="I63" s="147">
        <f t="shared" ref="I63:P63" si="22">SUM(I61:I62)</f>
        <v>26000</v>
      </c>
      <c r="J63" s="148">
        <f t="shared" si="22"/>
        <v>24449.07</v>
      </c>
      <c r="K63" s="147">
        <f t="shared" si="22"/>
        <v>35600</v>
      </c>
      <c r="L63" s="148">
        <f t="shared" si="22"/>
        <v>24688.789999999997</v>
      </c>
      <c r="M63" s="147">
        <f t="shared" si="22"/>
        <v>35600</v>
      </c>
      <c r="N63" s="148">
        <f t="shared" si="22"/>
        <v>31021.119999999999</v>
      </c>
      <c r="O63" s="149">
        <f t="shared" si="22"/>
        <v>35600</v>
      </c>
      <c r="P63" s="150">
        <f t="shared" si="22"/>
        <v>14977.41</v>
      </c>
      <c r="Q63" s="149">
        <v>29000</v>
      </c>
      <c r="R63" s="150">
        <f>SUM(R61:R62)</f>
        <v>18808.439999999999</v>
      </c>
      <c r="S63" s="151">
        <f>SUM(S61:S62)</f>
        <v>35000</v>
      </c>
      <c r="T63" s="151">
        <f>SUM(T61:T62)</f>
        <v>35000</v>
      </c>
      <c r="U63" s="151">
        <v>-12591.44</v>
      </c>
      <c r="V63" s="151">
        <f>SUM(V61:V62)</f>
        <v>30100</v>
      </c>
      <c r="W63" s="152">
        <v>-17774.34</v>
      </c>
      <c r="X63" s="153">
        <f>SUM(X61:X62)</f>
        <v>35920</v>
      </c>
      <c r="Y63" s="190">
        <v>-10188.280000000001</v>
      </c>
      <c r="Z63" s="153">
        <f>SUM(Z61:Z62)</f>
        <v>37000</v>
      </c>
      <c r="AA63" s="153">
        <f>SUM(AA61:AA62)</f>
        <v>-28889.809999999998</v>
      </c>
      <c r="AB63" s="153">
        <f>SUM(AB61:AB62)</f>
        <v>37000</v>
      </c>
      <c r="AC63" s="155">
        <v>-28809.21</v>
      </c>
      <c r="AD63" s="153">
        <f>SUM(AD61:AD62)</f>
        <v>31820</v>
      </c>
      <c r="AE63" s="153">
        <f t="shared" ref="AE63" si="23">SUM(AE61:AE62)</f>
        <v>-32298.91</v>
      </c>
      <c r="AF63" s="153">
        <f>SUM(AF61:AF62)</f>
        <v>35050</v>
      </c>
      <c r="AG63" s="153">
        <f t="shared" ref="AG63" si="24">SUM(AG61:AG62)</f>
        <v>-17105.41</v>
      </c>
      <c r="AH63" s="153">
        <f>SUM(AH61:AH62)</f>
        <v>35550</v>
      </c>
      <c r="AI63" s="153">
        <f>SUM(AI61:AI62)</f>
        <v>37050</v>
      </c>
      <c r="AJ63" s="153">
        <f>SUM(AJ61:AJ62)</f>
        <v>37050</v>
      </c>
      <c r="AK63" s="702"/>
      <c r="AM63" s="106"/>
      <c r="AN63" s="106"/>
    </row>
    <row r="64" spans="1:1026">
      <c r="A64" s="80"/>
      <c r="B64" s="14"/>
      <c r="C64" s="14"/>
      <c r="D64" s="14"/>
      <c r="E64" s="15"/>
      <c r="F64" s="14"/>
      <c r="G64" s="81"/>
      <c r="H64" s="278"/>
      <c r="I64" s="281"/>
      <c r="J64" s="289"/>
      <c r="K64" s="281"/>
      <c r="L64" s="289"/>
      <c r="M64" s="281"/>
      <c r="N64" s="289"/>
      <c r="O64" s="121"/>
      <c r="P64" s="282"/>
      <c r="Q64" s="121"/>
      <c r="R64" s="282"/>
      <c r="S64" s="283"/>
      <c r="T64" s="283"/>
      <c r="U64" s="283"/>
      <c r="V64" s="283"/>
      <c r="W64" s="284"/>
      <c r="X64" s="285"/>
      <c r="Y64" s="286"/>
      <c r="Z64" s="287"/>
      <c r="AA64" s="118"/>
      <c r="AB64" s="287"/>
      <c r="AC64" s="288"/>
      <c r="AD64" s="287"/>
      <c r="AE64" s="288"/>
      <c r="AF64" s="287"/>
      <c r="AG64" s="753"/>
      <c r="AH64" s="287"/>
      <c r="AI64" s="287"/>
      <c r="AJ64" s="287"/>
      <c r="AK64" s="700"/>
      <c r="AM64" s="106"/>
      <c r="AN64" s="106"/>
    </row>
    <row r="65" spans="1:40">
      <c r="A65" s="66">
        <v>5</v>
      </c>
      <c r="B65" s="67" t="s">
        <v>16</v>
      </c>
      <c r="C65" s="67">
        <v>1</v>
      </c>
      <c r="D65" s="67" t="s">
        <v>16</v>
      </c>
      <c r="E65" s="68" t="s">
        <v>77</v>
      </c>
      <c r="F65" s="67" t="s">
        <v>16</v>
      </c>
      <c r="G65" s="69" t="s">
        <v>70</v>
      </c>
      <c r="H65" s="238" t="s">
        <v>125</v>
      </c>
      <c r="I65" s="239"/>
      <c r="J65" s="240"/>
      <c r="K65" s="239"/>
      <c r="L65" s="240"/>
      <c r="M65" s="239"/>
      <c r="N65" s="240"/>
      <c r="O65" s="241"/>
      <c r="P65" s="242"/>
      <c r="Q65" s="241"/>
      <c r="R65" s="242"/>
      <c r="S65" s="243"/>
      <c r="T65" s="243"/>
      <c r="U65" s="243"/>
      <c r="V65" s="243"/>
      <c r="W65" s="244"/>
      <c r="X65" s="245"/>
      <c r="Y65" s="246"/>
      <c r="Z65" s="247"/>
      <c r="AA65" s="176"/>
      <c r="AB65" s="247"/>
      <c r="AC65" s="248"/>
      <c r="AD65" s="247"/>
      <c r="AE65" s="248"/>
      <c r="AF65" s="247"/>
      <c r="AG65" s="752"/>
      <c r="AH65" s="247"/>
      <c r="AI65" s="247"/>
      <c r="AJ65" s="247"/>
      <c r="AK65" s="710"/>
      <c r="AM65" s="106"/>
      <c r="AN65" s="106"/>
    </row>
    <row r="66" spans="1:40">
      <c r="A66" s="80">
        <v>5</v>
      </c>
      <c r="B66" s="14" t="s">
        <v>16</v>
      </c>
      <c r="C66" s="14">
        <v>1</v>
      </c>
      <c r="D66" s="14" t="s">
        <v>16</v>
      </c>
      <c r="E66" s="15" t="s">
        <v>77</v>
      </c>
      <c r="F66" s="14" t="s">
        <v>16</v>
      </c>
      <c r="G66" s="81" t="s">
        <v>81</v>
      </c>
      <c r="H66" s="250" t="s">
        <v>108</v>
      </c>
      <c r="I66" s="83">
        <v>2500</v>
      </c>
      <c r="J66" s="84">
        <v>1531.86</v>
      </c>
      <c r="K66" s="83">
        <v>1500</v>
      </c>
      <c r="L66" s="84">
        <v>80</v>
      </c>
      <c r="M66" s="83">
        <v>1500</v>
      </c>
      <c r="N66" s="84">
        <v>186.02</v>
      </c>
      <c r="O66" s="85">
        <v>1500</v>
      </c>
      <c r="P66" s="86">
        <v>11.99</v>
      </c>
      <c r="Q66" s="85">
        <v>750</v>
      </c>
      <c r="R66" s="86">
        <v>32.93</v>
      </c>
      <c r="S66" s="87">
        <v>1500</v>
      </c>
      <c r="T66" s="87">
        <v>1500</v>
      </c>
      <c r="U66" s="87">
        <v>-78.75</v>
      </c>
      <c r="V66" s="87">
        <v>1500</v>
      </c>
      <c r="W66" s="88">
        <v>-78.75</v>
      </c>
      <c r="X66" s="89">
        <v>1000</v>
      </c>
      <c r="Y66" s="90">
        <v>-42.05</v>
      </c>
      <c r="Z66" s="91">
        <v>1000</v>
      </c>
      <c r="AA66" s="92">
        <v>-1053.28</v>
      </c>
      <c r="AB66" s="91">
        <v>1000</v>
      </c>
      <c r="AC66" s="92">
        <v>-1053.28</v>
      </c>
      <c r="AD66" s="91">
        <v>1000</v>
      </c>
      <c r="AE66" s="92">
        <v>-278.32</v>
      </c>
      <c r="AF66" s="91">
        <v>1000</v>
      </c>
      <c r="AG66" s="744">
        <v>-268.07</v>
      </c>
      <c r="AH66" s="91">
        <v>1000</v>
      </c>
      <c r="AI66" s="91">
        <v>1000</v>
      </c>
      <c r="AJ66" s="91">
        <v>1000</v>
      </c>
      <c r="AK66" s="707"/>
      <c r="AM66" s="106"/>
      <c r="AN66" s="106"/>
    </row>
    <row r="67" spans="1:40">
      <c r="A67" s="80">
        <v>5</v>
      </c>
      <c r="B67" s="14" t="s">
        <v>16</v>
      </c>
      <c r="C67" s="14">
        <v>1</v>
      </c>
      <c r="D67" s="14" t="s">
        <v>16</v>
      </c>
      <c r="E67" s="15" t="s">
        <v>77</v>
      </c>
      <c r="F67" s="14" t="s">
        <v>16</v>
      </c>
      <c r="G67" s="81" t="s">
        <v>84</v>
      </c>
      <c r="H67" s="251" t="s">
        <v>110</v>
      </c>
      <c r="I67" s="94"/>
      <c r="J67" s="95"/>
      <c r="K67" s="94">
        <f>650*1*12</f>
        <v>7800</v>
      </c>
      <c r="L67" s="95">
        <v>5850</v>
      </c>
      <c r="M67" s="94">
        <f>650*1*12</f>
        <v>7800</v>
      </c>
      <c r="N67" s="95">
        <v>7800</v>
      </c>
      <c r="O67" s="96">
        <f>650*1*12</f>
        <v>7800</v>
      </c>
      <c r="P67" s="97">
        <v>3290</v>
      </c>
      <c r="Q67" s="96">
        <v>7575</v>
      </c>
      <c r="R67" s="97">
        <v>4700</v>
      </c>
      <c r="S67" s="99">
        <v>7800</v>
      </c>
      <c r="T67" s="99">
        <v>7800</v>
      </c>
      <c r="U67" s="99">
        <v>-4550</v>
      </c>
      <c r="V67" s="99">
        <f>650*11+770</f>
        <v>7920</v>
      </c>
      <c r="W67" s="100">
        <v>-5850</v>
      </c>
      <c r="X67" s="101">
        <f>[1]Tabelle1!B11</f>
        <v>8640</v>
      </c>
      <c r="Y67" s="102">
        <v>-3600</v>
      </c>
      <c r="Z67" s="103">
        <f>X67/12*8+770*4</f>
        <v>8840</v>
      </c>
      <c r="AA67" s="104">
        <v>-8840</v>
      </c>
      <c r="AB67" s="103">
        <f>770*12</f>
        <v>9240</v>
      </c>
      <c r="AC67" s="104">
        <v>-8840</v>
      </c>
      <c r="AD67" s="103">
        <f>770*7+900*5</f>
        <v>9890</v>
      </c>
      <c r="AE67" s="104">
        <v>-8013.94</v>
      </c>
      <c r="AF67" s="842">
        <f>900*12</f>
        <v>10800</v>
      </c>
      <c r="AG67" s="666">
        <v>-5400</v>
      </c>
      <c r="AH67" s="842">
        <f>900*12</f>
        <v>10800</v>
      </c>
      <c r="AI67" s="842">
        <f>900*12</f>
        <v>10800</v>
      </c>
      <c r="AJ67" s="1053">
        <f>788*12</f>
        <v>9456</v>
      </c>
      <c r="AK67" s="700"/>
      <c r="AM67" s="106"/>
      <c r="AN67" s="106"/>
    </row>
    <row r="68" spans="1:40" ht="15">
      <c r="A68" s="80">
        <v>5</v>
      </c>
      <c r="B68" s="14" t="s">
        <v>16</v>
      </c>
      <c r="C68" s="14">
        <v>1</v>
      </c>
      <c r="D68" s="14" t="s">
        <v>16</v>
      </c>
      <c r="E68" s="15" t="s">
        <v>77</v>
      </c>
      <c r="F68" s="14" t="s">
        <v>16</v>
      </c>
      <c r="G68" s="81" t="s">
        <v>86</v>
      </c>
      <c r="H68" s="251" t="s">
        <v>111</v>
      </c>
      <c r="I68" s="94"/>
      <c r="J68" s="95"/>
      <c r="K68" s="94">
        <f>400*2*12</f>
        <v>9600</v>
      </c>
      <c r="L68" s="95">
        <v>7143.76</v>
      </c>
      <c r="M68" s="94">
        <v>9200</v>
      </c>
      <c r="N68" s="95">
        <v>10193.76</v>
      </c>
      <c r="O68" s="96">
        <v>7200</v>
      </c>
      <c r="P68" s="97">
        <v>4200</v>
      </c>
      <c r="Q68" s="96">
        <v>7170</v>
      </c>
      <c r="R68" s="97">
        <v>5400</v>
      </c>
      <c r="S68" s="87">
        <f>3*40*10*9+3*40*11*3+1*20*10*9+1*20*11*3</f>
        <v>17220</v>
      </c>
      <c r="T68" s="87">
        <f>3*40*10*9+3*40*11*3+1*20*10*9+1*20*11*3</f>
        <v>17220</v>
      </c>
      <c r="U68" s="87">
        <v>-5000</v>
      </c>
      <c r="V68" s="87">
        <f>(40*10*9+40*12*3)*2.5</f>
        <v>12600</v>
      </c>
      <c r="W68" s="88">
        <v>-6200</v>
      </c>
      <c r="X68" s="89">
        <f>[1]Tabelle1!B9*3+[1]Tabelle1!B10</f>
        <v>20160</v>
      </c>
      <c r="Y68" s="90">
        <v>-6240</v>
      </c>
      <c r="Z68" s="291">
        <f>X68/12*8+3.5*15*40*4</f>
        <v>21840</v>
      </c>
      <c r="AA68" s="292">
        <v>-21061.33</v>
      </c>
      <c r="AB68" s="293">
        <f>4*40*15*12</f>
        <v>28800</v>
      </c>
      <c r="AC68" s="292">
        <v>-21061.33</v>
      </c>
      <c r="AD68" s="293">
        <f>4*40*15*12-2570-650</f>
        <v>25580</v>
      </c>
      <c r="AE68" s="292">
        <v>-23756.13</v>
      </c>
      <c r="AF68" s="844">
        <f>4*40*15*12</f>
        <v>28800</v>
      </c>
      <c r="AG68" s="294">
        <v>-6536.8</v>
      </c>
      <c r="AH68" s="844">
        <f>4*40*15*12</f>
        <v>28800</v>
      </c>
      <c r="AI68" s="844">
        <f>4*40*15*12</f>
        <v>28800</v>
      </c>
      <c r="AJ68" s="1054">
        <f>3.5*40*15*12</f>
        <v>25200</v>
      </c>
      <c r="AK68" s="711" t="s">
        <v>527</v>
      </c>
      <c r="AM68" s="106"/>
      <c r="AN68" s="106"/>
    </row>
    <row r="69" spans="1:40">
      <c r="A69" s="144"/>
      <c r="B69" s="680"/>
      <c r="C69" s="680"/>
      <c r="D69" s="680"/>
      <c r="E69" s="676"/>
      <c r="F69" s="680"/>
      <c r="G69" s="145"/>
      <c r="H69" s="146" t="s">
        <v>126</v>
      </c>
      <c r="I69" s="147">
        <f t="shared" ref="I69:P69" si="25">SUM(I66:I68)</f>
        <v>2500</v>
      </c>
      <c r="J69" s="148">
        <f t="shared" si="25"/>
        <v>1531.86</v>
      </c>
      <c r="K69" s="147">
        <f t="shared" si="25"/>
        <v>18900</v>
      </c>
      <c r="L69" s="148">
        <f t="shared" si="25"/>
        <v>13073.76</v>
      </c>
      <c r="M69" s="147">
        <f t="shared" si="25"/>
        <v>18500</v>
      </c>
      <c r="N69" s="148">
        <f t="shared" si="25"/>
        <v>18179.78</v>
      </c>
      <c r="O69" s="149">
        <f t="shared" si="25"/>
        <v>16500</v>
      </c>
      <c r="P69" s="150">
        <f t="shared" si="25"/>
        <v>7501.99</v>
      </c>
      <c r="Q69" s="149">
        <v>15495</v>
      </c>
      <c r="R69" s="150">
        <f>SUM(R66:R68)</f>
        <v>10132.93</v>
      </c>
      <c r="S69" s="151">
        <f>SUM(S66:S68)</f>
        <v>26520</v>
      </c>
      <c r="T69" s="151">
        <f>SUM(T66:T68)</f>
        <v>26520</v>
      </c>
      <c r="U69" s="151">
        <v>-9628.75</v>
      </c>
      <c r="V69" s="151">
        <f>SUM(V66:V68)</f>
        <v>22020</v>
      </c>
      <c r="W69" s="152">
        <f>SUM(W66:W68)</f>
        <v>-12128.75</v>
      </c>
      <c r="X69" s="153">
        <f>SUM(X66:X68)</f>
        <v>29800</v>
      </c>
      <c r="Y69" s="190">
        <v>-9882.0499999999993</v>
      </c>
      <c r="Z69" s="153">
        <f>SUM(Z66:Z68)</f>
        <v>31680</v>
      </c>
      <c r="AA69" s="153">
        <f>SUM(AA66:AA68)</f>
        <v>-30954.61</v>
      </c>
      <c r="AB69" s="153">
        <f>SUM(AB66:AB68)</f>
        <v>39040</v>
      </c>
      <c r="AC69" s="155">
        <v>-30954.61</v>
      </c>
      <c r="AD69" s="153">
        <f>SUM(AD66:AD68)</f>
        <v>36470</v>
      </c>
      <c r="AE69" s="153">
        <f t="shared" ref="AE69" si="26">SUM(AE66:AE68)</f>
        <v>-32048.39</v>
      </c>
      <c r="AF69" s="153">
        <f>SUM(AF66:AF68)</f>
        <v>40600</v>
      </c>
      <c r="AG69" s="153">
        <f t="shared" ref="AG69" si="27">SUM(AG66:AG68)</f>
        <v>-12204.869999999999</v>
      </c>
      <c r="AH69" s="153">
        <f>SUM(AH66:AH68)</f>
        <v>40600</v>
      </c>
      <c r="AI69" s="153">
        <f>SUM(AI66:AI68)</f>
        <v>40600</v>
      </c>
      <c r="AJ69" s="153">
        <f>SUM(AJ66:AJ68)</f>
        <v>35656</v>
      </c>
      <c r="AK69" s="702"/>
      <c r="AM69" s="106"/>
      <c r="AN69" s="106"/>
    </row>
    <row r="70" spans="1:40">
      <c r="A70" s="80"/>
      <c r="B70" s="14"/>
      <c r="C70" s="14"/>
      <c r="D70" s="14"/>
      <c r="E70" s="15"/>
      <c r="F70" s="14"/>
      <c r="G70" s="81"/>
      <c r="H70" s="278"/>
      <c r="I70" s="281"/>
      <c r="J70" s="289"/>
      <c r="K70" s="281"/>
      <c r="L70" s="289"/>
      <c r="M70" s="281"/>
      <c r="N70" s="289"/>
      <c r="O70" s="121"/>
      <c r="P70" s="282"/>
      <c r="Q70" s="121"/>
      <c r="R70" s="282"/>
      <c r="S70" s="283"/>
      <c r="T70" s="283"/>
      <c r="U70" s="283"/>
      <c r="V70" s="283"/>
      <c r="W70" s="284"/>
      <c r="X70" s="285"/>
      <c r="Y70" s="286"/>
      <c r="Z70" s="287"/>
      <c r="AA70" s="118"/>
      <c r="AB70" s="287"/>
      <c r="AC70" s="288"/>
      <c r="AD70" s="287"/>
      <c r="AE70" s="288"/>
      <c r="AF70" s="287"/>
      <c r="AG70" s="753"/>
      <c r="AH70" s="287"/>
      <c r="AI70" s="287"/>
      <c r="AJ70" s="287"/>
      <c r="AK70" s="706"/>
      <c r="AM70" s="106"/>
      <c r="AN70" s="106"/>
    </row>
    <row r="71" spans="1:40">
      <c r="A71" s="66">
        <v>5</v>
      </c>
      <c r="B71" s="67" t="s">
        <v>16</v>
      </c>
      <c r="C71" s="67">
        <v>1</v>
      </c>
      <c r="D71" s="67" t="s">
        <v>16</v>
      </c>
      <c r="E71" s="68" t="s">
        <v>118</v>
      </c>
      <c r="F71" s="67" t="s">
        <v>16</v>
      </c>
      <c r="G71" s="69" t="s">
        <v>70</v>
      </c>
      <c r="H71" s="238" t="s">
        <v>127</v>
      </c>
      <c r="I71" s="239"/>
      <c r="J71" s="240"/>
      <c r="K71" s="239"/>
      <c r="L71" s="240"/>
      <c r="M71" s="239"/>
      <c r="N71" s="240"/>
      <c r="O71" s="241"/>
      <c r="P71" s="242"/>
      <c r="Q71" s="241"/>
      <c r="R71" s="242"/>
      <c r="S71" s="243"/>
      <c r="T71" s="243"/>
      <c r="U71" s="243"/>
      <c r="V71" s="243"/>
      <c r="W71" s="244"/>
      <c r="X71" s="245"/>
      <c r="Y71" s="246"/>
      <c r="Z71" s="247"/>
      <c r="AA71" s="176"/>
      <c r="AB71" s="247"/>
      <c r="AC71" s="248"/>
      <c r="AD71" s="247"/>
      <c r="AE71" s="248"/>
      <c r="AF71" s="247"/>
      <c r="AG71" s="752"/>
      <c r="AH71" s="247"/>
      <c r="AI71" s="247"/>
      <c r="AJ71" s="247"/>
      <c r="AK71" s="710"/>
      <c r="AM71" s="106"/>
      <c r="AN71" s="106"/>
    </row>
    <row r="72" spans="1:40">
      <c r="A72" s="80">
        <v>5</v>
      </c>
      <c r="B72" s="14" t="s">
        <v>16</v>
      </c>
      <c r="C72" s="14">
        <v>1</v>
      </c>
      <c r="D72" s="14" t="s">
        <v>16</v>
      </c>
      <c r="E72" s="15" t="s">
        <v>118</v>
      </c>
      <c r="F72" s="14" t="s">
        <v>16</v>
      </c>
      <c r="G72" s="81" t="s">
        <v>81</v>
      </c>
      <c r="H72" s="250" t="s">
        <v>108</v>
      </c>
      <c r="I72" s="83">
        <v>200</v>
      </c>
      <c r="J72" s="84">
        <v>0</v>
      </c>
      <c r="K72" s="83">
        <v>1500</v>
      </c>
      <c r="L72" s="84">
        <v>0</v>
      </c>
      <c r="M72" s="83">
        <v>1500</v>
      </c>
      <c r="N72" s="84">
        <v>0</v>
      </c>
      <c r="O72" s="85">
        <v>1500</v>
      </c>
      <c r="P72" s="86">
        <v>0</v>
      </c>
      <c r="Q72" s="85">
        <v>250</v>
      </c>
      <c r="R72" s="86">
        <v>72.5</v>
      </c>
      <c r="S72" s="87">
        <v>1500</v>
      </c>
      <c r="T72" s="87">
        <v>1500</v>
      </c>
      <c r="U72" s="87">
        <v>0</v>
      </c>
      <c r="V72" s="87">
        <v>1500</v>
      </c>
      <c r="W72" s="88">
        <v>-320</v>
      </c>
      <c r="X72" s="89">
        <v>1000</v>
      </c>
      <c r="Y72" s="90">
        <v>0</v>
      </c>
      <c r="Z72" s="91">
        <v>1000</v>
      </c>
      <c r="AA72" s="92">
        <v>-253.22</v>
      </c>
      <c r="AB72" s="91">
        <v>1000</v>
      </c>
      <c r="AC72" s="92">
        <v>-253.22</v>
      </c>
      <c r="AD72" s="91">
        <v>1000</v>
      </c>
      <c r="AE72" s="92">
        <v>-619.59</v>
      </c>
      <c r="AF72" s="91">
        <v>1000</v>
      </c>
      <c r="AG72" s="744">
        <v>-459.18</v>
      </c>
      <c r="AH72" s="91">
        <v>1000</v>
      </c>
      <c r="AI72" s="91">
        <v>1000</v>
      </c>
      <c r="AJ72" s="91">
        <v>1000</v>
      </c>
      <c r="AK72" s="707"/>
      <c r="AM72" s="106"/>
      <c r="AN72" s="106"/>
    </row>
    <row r="73" spans="1:40">
      <c r="A73" s="80">
        <v>5</v>
      </c>
      <c r="B73" s="14" t="s">
        <v>16</v>
      </c>
      <c r="C73" s="14">
        <v>1</v>
      </c>
      <c r="D73" s="14" t="s">
        <v>16</v>
      </c>
      <c r="E73" s="15" t="s">
        <v>118</v>
      </c>
      <c r="F73" s="14" t="s">
        <v>16</v>
      </c>
      <c r="G73" s="81" t="s">
        <v>84</v>
      </c>
      <c r="H73" s="251" t="s">
        <v>110</v>
      </c>
      <c r="I73" s="94"/>
      <c r="J73" s="95"/>
      <c r="K73" s="94">
        <f>650*12</f>
        <v>7800</v>
      </c>
      <c r="L73" s="95">
        <v>5200</v>
      </c>
      <c r="M73" s="94">
        <f>650*12</f>
        <v>7800</v>
      </c>
      <c r="N73" s="95">
        <v>7800</v>
      </c>
      <c r="O73" s="96">
        <f>650*12</f>
        <v>7800</v>
      </c>
      <c r="P73" s="97">
        <v>4550</v>
      </c>
      <c r="Q73" s="96">
        <v>7575</v>
      </c>
      <c r="R73" s="97">
        <v>6500</v>
      </c>
      <c r="S73" s="99">
        <v>7800</v>
      </c>
      <c r="T73" s="99">
        <v>7800</v>
      </c>
      <c r="U73" s="99">
        <v>-5200</v>
      </c>
      <c r="V73" s="99">
        <f>650*11+770</f>
        <v>7920</v>
      </c>
      <c r="W73" s="100">
        <v>-6500</v>
      </c>
      <c r="X73" s="101">
        <f>[1]Tabelle1!B11</f>
        <v>8640</v>
      </c>
      <c r="Y73" s="102">
        <v>-3600</v>
      </c>
      <c r="Z73" s="103">
        <f>X73/12*8+770*4</f>
        <v>8840</v>
      </c>
      <c r="AA73" s="104">
        <v>-8840</v>
      </c>
      <c r="AB73" s="103">
        <f>770*12</f>
        <v>9240</v>
      </c>
      <c r="AC73" s="104">
        <v>-8840</v>
      </c>
      <c r="AD73" s="103">
        <f>770*7+900*5</f>
        <v>9890</v>
      </c>
      <c r="AE73" s="104">
        <v>-9330</v>
      </c>
      <c r="AF73" s="842">
        <f>788*12</f>
        <v>9456</v>
      </c>
      <c r="AG73" s="666">
        <v>-5400</v>
      </c>
      <c r="AH73" s="842">
        <f>788*12</f>
        <v>9456</v>
      </c>
      <c r="AI73" s="842">
        <f>788*12</f>
        <v>9456</v>
      </c>
      <c r="AJ73" s="103">
        <f>788*12</f>
        <v>9456</v>
      </c>
      <c r="AK73" s="700"/>
      <c r="AM73" s="106"/>
      <c r="AN73" s="106"/>
    </row>
    <row r="74" spans="1:40" ht="15">
      <c r="A74" s="80">
        <v>5</v>
      </c>
      <c r="B74" s="14" t="s">
        <v>16</v>
      </c>
      <c r="C74" s="14">
        <v>1</v>
      </c>
      <c r="D74" s="14" t="s">
        <v>16</v>
      </c>
      <c r="E74" s="15" t="s">
        <v>118</v>
      </c>
      <c r="F74" s="14" t="s">
        <v>16</v>
      </c>
      <c r="G74" s="81" t="s">
        <v>86</v>
      </c>
      <c r="H74" s="251" t="s">
        <v>111</v>
      </c>
      <c r="I74" s="94"/>
      <c r="J74" s="95"/>
      <c r="K74" s="94">
        <f>400*2*12</f>
        <v>9600</v>
      </c>
      <c r="L74" s="95">
        <v>8000</v>
      </c>
      <c r="M74" s="94">
        <v>9600</v>
      </c>
      <c r="N74" s="95">
        <v>9600</v>
      </c>
      <c r="O74" s="96">
        <v>7200</v>
      </c>
      <c r="P74" s="97">
        <v>3515.33</v>
      </c>
      <c r="Q74" s="96">
        <v>8940</v>
      </c>
      <c r="R74" s="97">
        <v>5313.33</v>
      </c>
      <c r="S74" s="99">
        <f>3*40*10*9+3*40*11*3</f>
        <v>14760</v>
      </c>
      <c r="T74" s="99">
        <f>3*40*10*9+3*40*11*3</f>
        <v>14760</v>
      </c>
      <c r="U74" s="99">
        <v>-5506.56</v>
      </c>
      <c r="V74" s="99">
        <f>Semesterticket!B3*3</f>
        <v>0</v>
      </c>
      <c r="W74" s="100">
        <v>-7506.56</v>
      </c>
      <c r="X74" s="101">
        <f>3*[1]Tabelle1!B9</f>
        <v>17280</v>
      </c>
      <c r="Y74" s="102">
        <v>-6240</v>
      </c>
      <c r="Z74" s="295">
        <f>X74/12*8+3.5*15*40*4</f>
        <v>19920</v>
      </c>
      <c r="AA74" s="296">
        <v>-18540</v>
      </c>
      <c r="AB74" s="297">
        <f>3.5*15*40*12</f>
        <v>25200</v>
      </c>
      <c r="AC74" s="296">
        <v>-18540</v>
      </c>
      <c r="AD74" s="297">
        <f>3.5*15*40*12+100</f>
        <v>25300</v>
      </c>
      <c r="AE74" s="296">
        <v>-26174.13</v>
      </c>
      <c r="AF74" s="845">
        <f>7*15*40*12</f>
        <v>50400</v>
      </c>
      <c r="AG74" s="675">
        <v>-20448.8</v>
      </c>
      <c r="AH74" s="845">
        <f>7*15*40*12</f>
        <v>50400</v>
      </c>
      <c r="AI74" s="845">
        <f>7*15*40*12</f>
        <v>50400</v>
      </c>
      <c r="AJ74" s="1055">
        <f>6*15*40*12</f>
        <v>43200</v>
      </c>
      <c r="AK74" s="298" t="s">
        <v>528</v>
      </c>
      <c r="AM74" s="106"/>
      <c r="AN74" s="106"/>
    </row>
    <row r="75" spans="1:40">
      <c r="A75" s="144"/>
      <c r="B75" s="680"/>
      <c r="C75" s="680"/>
      <c r="D75" s="680"/>
      <c r="E75" s="676"/>
      <c r="F75" s="680"/>
      <c r="G75" s="145"/>
      <c r="H75" s="146" t="s">
        <v>128</v>
      </c>
      <c r="I75" s="147">
        <f t="shared" ref="I75:P75" si="28">SUM(I72:I74)</f>
        <v>200</v>
      </c>
      <c r="J75" s="148">
        <f t="shared" si="28"/>
        <v>0</v>
      </c>
      <c r="K75" s="147">
        <f t="shared" si="28"/>
        <v>18900</v>
      </c>
      <c r="L75" s="148">
        <f t="shared" si="28"/>
        <v>13200</v>
      </c>
      <c r="M75" s="147">
        <f t="shared" si="28"/>
        <v>18900</v>
      </c>
      <c r="N75" s="148">
        <f t="shared" si="28"/>
        <v>17400</v>
      </c>
      <c r="O75" s="149">
        <f t="shared" si="28"/>
        <v>16500</v>
      </c>
      <c r="P75" s="150">
        <f t="shared" si="28"/>
        <v>8065.33</v>
      </c>
      <c r="Q75" s="149">
        <v>17265</v>
      </c>
      <c r="R75" s="150">
        <f>SUM(R72:R74)</f>
        <v>11885.83</v>
      </c>
      <c r="S75" s="151">
        <f>SUM(S72:S74)</f>
        <v>24060</v>
      </c>
      <c r="T75" s="151">
        <f>SUM(T72:T74)</f>
        <v>24060</v>
      </c>
      <c r="U75" s="151">
        <v>-10706.56</v>
      </c>
      <c r="V75" s="151">
        <f>SUM(V72:V74)</f>
        <v>9420</v>
      </c>
      <c r="W75" s="152">
        <v>-14326.56</v>
      </c>
      <c r="X75" s="153">
        <f>SUM(X72:X74)</f>
        <v>26920</v>
      </c>
      <c r="Y75" s="190">
        <v>-9840</v>
      </c>
      <c r="Z75" s="153">
        <f>SUM(Z72:Z74)</f>
        <v>29760</v>
      </c>
      <c r="AA75" s="153">
        <f>SUM(AA72:AA74)</f>
        <v>-27633.22</v>
      </c>
      <c r="AB75" s="153">
        <f>SUM(AB72:AB74)</f>
        <v>35440</v>
      </c>
      <c r="AC75" s="155">
        <v>-27633.22</v>
      </c>
      <c r="AD75" s="153">
        <f>SUM(AD72:AD74)</f>
        <v>36190</v>
      </c>
      <c r="AE75" s="153">
        <f t="shared" ref="AE75" si="29">SUM(AE72:AE74)</f>
        <v>-36123.72</v>
      </c>
      <c r="AF75" s="153">
        <f>SUM(AF72:AF74)</f>
        <v>60856</v>
      </c>
      <c r="AG75" s="153">
        <f t="shared" ref="AG75" si="30">SUM(AG72:AG74)</f>
        <v>-26307.98</v>
      </c>
      <c r="AH75" s="153">
        <f>SUM(AH72:AH74)</f>
        <v>60856</v>
      </c>
      <c r="AI75" s="153">
        <f>SUM(AI72:AI74)</f>
        <v>60856</v>
      </c>
      <c r="AJ75" s="153">
        <f>SUM(AJ72:AJ74)</f>
        <v>53656</v>
      </c>
      <c r="AK75" s="702"/>
      <c r="AM75" s="106"/>
      <c r="AN75" s="106"/>
    </row>
    <row r="76" spans="1:40">
      <c r="A76" s="80"/>
      <c r="B76" s="14"/>
      <c r="C76" s="14"/>
      <c r="D76" s="14"/>
      <c r="E76" s="15"/>
      <c r="F76" s="14"/>
      <c r="G76" s="81"/>
      <c r="H76" s="278"/>
      <c r="I76" s="281"/>
      <c r="J76" s="289"/>
      <c r="K76" s="281"/>
      <c r="L76" s="289"/>
      <c r="M76" s="281"/>
      <c r="N76" s="289"/>
      <c r="O76" s="121"/>
      <c r="P76" s="282"/>
      <c r="Q76" s="121"/>
      <c r="R76" s="282"/>
      <c r="S76" s="283"/>
      <c r="T76" s="283"/>
      <c r="U76" s="283"/>
      <c r="V76" s="283"/>
      <c r="W76" s="284"/>
      <c r="X76" s="285"/>
      <c r="Y76" s="286"/>
      <c r="Z76" s="287"/>
      <c r="AA76" s="118"/>
      <c r="AB76" s="287"/>
      <c r="AC76" s="288"/>
      <c r="AD76" s="287"/>
      <c r="AE76" s="288"/>
      <c r="AF76" s="287"/>
      <c r="AG76" s="753"/>
      <c r="AH76" s="287"/>
      <c r="AI76" s="287"/>
      <c r="AJ76" s="287"/>
      <c r="AK76" s="706"/>
      <c r="AM76" s="106"/>
      <c r="AN76" s="106"/>
    </row>
    <row r="77" spans="1:40">
      <c r="A77" s="66">
        <v>5</v>
      </c>
      <c r="B77" s="67" t="s">
        <v>16</v>
      </c>
      <c r="C77" s="67">
        <v>1</v>
      </c>
      <c r="D77" s="67" t="s">
        <v>16</v>
      </c>
      <c r="E77" s="68" t="s">
        <v>75</v>
      </c>
      <c r="F77" s="67" t="s">
        <v>16</v>
      </c>
      <c r="G77" s="69" t="s">
        <v>70</v>
      </c>
      <c r="H77" s="166" t="s">
        <v>129</v>
      </c>
      <c r="I77" s="239"/>
      <c r="J77" s="240"/>
      <c r="K77" s="239"/>
      <c r="L77" s="240"/>
      <c r="M77" s="239"/>
      <c r="N77" s="240"/>
      <c r="O77" s="241"/>
      <c r="P77" s="242"/>
      <c r="Q77" s="241"/>
      <c r="R77" s="242"/>
      <c r="S77" s="243"/>
      <c r="T77" s="243"/>
      <c r="U77" s="243"/>
      <c r="V77" s="243"/>
      <c r="W77" s="244"/>
      <c r="X77" s="245"/>
      <c r="Y77" s="246"/>
      <c r="Z77" s="247"/>
      <c r="AA77" s="176"/>
      <c r="AB77" s="247"/>
      <c r="AC77" s="248"/>
      <c r="AD77" s="247"/>
      <c r="AE77" s="248"/>
      <c r="AF77" s="247"/>
      <c r="AG77" s="752"/>
      <c r="AH77" s="247"/>
      <c r="AI77" s="247"/>
      <c r="AJ77" s="247"/>
      <c r="AK77" s="710"/>
      <c r="AM77" s="106"/>
      <c r="AN77" s="106"/>
    </row>
    <row r="78" spans="1:40">
      <c r="A78" s="80">
        <v>5</v>
      </c>
      <c r="B78" s="14" t="s">
        <v>16</v>
      </c>
      <c r="C78" s="14">
        <v>1</v>
      </c>
      <c r="D78" s="14" t="s">
        <v>16</v>
      </c>
      <c r="E78" s="15" t="s">
        <v>75</v>
      </c>
      <c r="F78" s="14" t="s">
        <v>16</v>
      </c>
      <c r="G78" s="81" t="s">
        <v>81</v>
      </c>
      <c r="H78" s="82" t="s">
        <v>108</v>
      </c>
      <c r="I78" s="83">
        <v>2300</v>
      </c>
      <c r="J78" s="84">
        <v>1419.85</v>
      </c>
      <c r="K78" s="83">
        <v>1500</v>
      </c>
      <c r="L78" s="84">
        <v>244.23</v>
      </c>
      <c r="M78" s="264">
        <v>1500</v>
      </c>
      <c r="N78" s="299">
        <v>921.17</v>
      </c>
      <c r="O78" s="135">
        <v>1500</v>
      </c>
      <c r="P78" s="300">
        <v>0</v>
      </c>
      <c r="Q78" s="85">
        <v>250</v>
      </c>
      <c r="R78" s="300">
        <v>72.5</v>
      </c>
      <c r="S78" s="87">
        <v>1500</v>
      </c>
      <c r="T78" s="87">
        <v>1500</v>
      </c>
      <c r="U78" s="87">
        <v>0</v>
      </c>
      <c r="V78" s="87">
        <v>0</v>
      </c>
      <c r="W78" s="88">
        <v>0</v>
      </c>
      <c r="X78" s="89">
        <v>0</v>
      </c>
      <c r="Y78" s="90">
        <v>0</v>
      </c>
      <c r="Z78" s="91">
        <v>0</v>
      </c>
      <c r="AA78" s="92">
        <v>0</v>
      </c>
      <c r="AB78" s="91">
        <v>1500</v>
      </c>
      <c r="AC78" s="92">
        <v>0</v>
      </c>
      <c r="AD78" s="91">
        <v>1500</v>
      </c>
      <c r="AE78" s="92">
        <v>-1859.76</v>
      </c>
      <c r="AF78" s="91">
        <v>1500</v>
      </c>
      <c r="AG78" s="744">
        <v>-1120.1500000000001</v>
      </c>
      <c r="AH78" s="91">
        <v>1500</v>
      </c>
      <c r="AI78" s="91">
        <v>1500</v>
      </c>
      <c r="AJ78" s="846">
        <v>1500</v>
      </c>
      <c r="AK78" s="699"/>
      <c r="AM78" s="106"/>
      <c r="AN78" s="106"/>
    </row>
    <row r="79" spans="1:40">
      <c r="A79" s="80">
        <v>5</v>
      </c>
      <c r="B79" s="14" t="s">
        <v>16</v>
      </c>
      <c r="C79" s="14">
        <v>1</v>
      </c>
      <c r="D79" s="14" t="s">
        <v>16</v>
      </c>
      <c r="E79" s="15" t="s">
        <v>75</v>
      </c>
      <c r="F79" s="14" t="s">
        <v>16</v>
      </c>
      <c r="G79" s="81" t="s">
        <v>84</v>
      </c>
      <c r="H79" s="107" t="s">
        <v>110</v>
      </c>
      <c r="I79" s="94"/>
      <c r="J79" s="95"/>
      <c r="K79" s="94">
        <f>650*12</f>
        <v>7800</v>
      </c>
      <c r="L79" s="95">
        <v>5850</v>
      </c>
      <c r="M79" s="94">
        <v>7800</v>
      </c>
      <c r="N79" s="95">
        <v>7800</v>
      </c>
      <c r="O79" s="96">
        <v>7800</v>
      </c>
      <c r="P79" s="97">
        <v>4550</v>
      </c>
      <c r="Q79" s="96">
        <v>7650</v>
      </c>
      <c r="R79" s="97">
        <v>6500</v>
      </c>
      <c r="S79" s="99">
        <f>650*12</f>
        <v>7800</v>
      </c>
      <c r="T79" s="99">
        <f>650*12</f>
        <v>7800</v>
      </c>
      <c r="U79" s="99">
        <v>-4550</v>
      </c>
      <c r="V79" s="99">
        <f>650*11+770</f>
        <v>7920</v>
      </c>
      <c r="W79" s="100">
        <v>-5850</v>
      </c>
      <c r="X79" s="101">
        <v>0</v>
      </c>
      <c r="Y79" s="102">
        <v>0</v>
      </c>
      <c r="Z79" s="103">
        <v>0</v>
      </c>
      <c r="AA79" s="104">
        <v>0</v>
      </c>
      <c r="AB79" s="103">
        <f>770*12</f>
        <v>9240</v>
      </c>
      <c r="AC79" s="104">
        <v>0</v>
      </c>
      <c r="AD79" s="103">
        <f>770*7*2+900*5*2</f>
        <v>19780</v>
      </c>
      <c r="AE79" s="104">
        <v>-19896</v>
      </c>
      <c r="AF79" s="842">
        <f>770*12+900*12</f>
        <v>20040</v>
      </c>
      <c r="AG79" s="666">
        <v>-10128</v>
      </c>
      <c r="AH79" s="842">
        <f>770*12+900*12</f>
        <v>20040</v>
      </c>
      <c r="AI79" s="842">
        <f>770*12+900*12</f>
        <v>20040</v>
      </c>
      <c r="AJ79" s="1053">
        <f>900*12+788*12*2</f>
        <v>29712</v>
      </c>
      <c r="AK79" s="700"/>
      <c r="AM79" s="106"/>
      <c r="AN79" s="106"/>
    </row>
    <row r="80" spans="1:40">
      <c r="A80" s="80">
        <v>5</v>
      </c>
      <c r="B80" s="14" t="s">
        <v>16</v>
      </c>
      <c r="C80" s="14">
        <v>1</v>
      </c>
      <c r="D80" s="14" t="s">
        <v>16</v>
      </c>
      <c r="E80" s="15" t="s">
        <v>75</v>
      </c>
      <c r="F80" s="14" t="s">
        <v>16</v>
      </c>
      <c r="G80" s="81" t="s">
        <v>86</v>
      </c>
      <c r="H80" s="107" t="s">
        <v>111</v>
      </c>
      <c r="I80" s="94"/>
      <c r="J80" s="95"/>
      <c r="K80" s="94">
        <f>400*2*12</f>
        <v>9600</v>
      </c>
      <c r="L80" s="95">
        <v>4851.67</v>
      </c>
      <c r="M80" s="94">
        <v>9200</v>
      </c>
      <c r="N80" s="95">
        <v>7150</v>
      </c>
      <c r="O80" s="96">
        <v>7200</v>
      </c>
      <c r="P80" s="97">
        <v>4200</v>
      </c>
      <c r="Q80" s="96">
        <v>7200</v>
      </c>
      <c r="R80" s="97">
        <v>6000</v>
      </c>
      <c r="S80" s="99">
        <f>40*10*9+40*11*3+20*10*9+20*11*3</f>
        <v>7380</v>
      </c>
      <c r="T80" s="99">
        <f>40*10*9+40*11*3+20*10*9+20*11*3</f>
        <v>7380</v>
      </c>
      <c r="U80" s="99">
        <v>-2800</v>
      </c>
      <c r="V80" s="99">
        <v>4580</v>
      </c>
      <c r="W80" s="100">
        <v>-3200</v>
      </c>
      <c r="X80" s="101">
        <v>0</v>
      </c>
      <c r="Y80" s="102">
        <v>0</v>
      </c>
      <c r="Z80" s="103">
        <v>0</v>
      </c>
      <c r="AA80" s="104">
        <v>0</v>
      </c>
      <c r="AB80" s="132">
        <f>2*15*40*12</f>
        <v>14400</v>
      </c>
      <c r="AC80" s="104">
        <v>0</v>
      </c>
      <c r="AD80" s="132">
        <f>2*15*40*12-930</f>
        <v>13470</v>
      </c>
      <c r="AE80" s="104">
        <v>-19409.689999999999</v>
      </c>
      <c r="AF80" s="841">
        <f>2.5*15*40*12</f>
        <v>18000</v>
      </c>
      <c r="AG80" s="134">
        <v>-7346.4</v>
      </c>
      <c r="AH80" s="841">
        <f>2.5*15*40*12</f>
        <v>18000</v>
      </c>
      <c r="AI80" s="841">
        <f>2.5*15*40*12</f>
        <v>18000</v>
      </c>
      <c r="AJ80" s="1056">
        <f>3*15*40*12</f>
        <v>21600</v>
      </c>
      <c r="AK80" s="701" t="s">
        <v>529</v>
      </c>
      <c r="AM80" s="106"/>
      <c r="AN80" s="106"/>
    </row>
    <row r="81" spans="1:40">
      <c r="A81" s="80">
        <v>5</v>
      </c>
      <c r="B81" s="14" t="s">
        <v>16</v>
      </c>
      <c r="C81" s="14">
        <v>1</v>
      </c>
      <c r="D81" s="14" t="s">
        <v>16</v>
      </c>
      <c r="E81" s="15" t="s">
        <v>75</v>
      </c>
      <c r="F81" s="14" t="s">
        <v>16</v>
      </c>
      <c r="G81" s="81" t="s">
        <v>73</v>
      </c>
      <c r="H81" s="107" t="s">
        <v>130</v>
      </c>
      <c r="I81" s="95"/>
      <c r="J81" s="95"/>
      <c r="K81" s="94"/>
      <c r="L81" s="95"/>
      <c r="M81" s="95"/>
      <c r="N81" s="95"/>
      <c r="O81" s="96">
        <v>5400</v>
      </c>
      <c r="P81" s="97">
        <v>3150</v>
      </c>
      <c r="Q81" s="96">
        <v>4050</v>
      </c>
      <c r="R81" s="97">
        <v>4500</v>
      </c>
      <c r="S81" s="99">
        <v>0</v>
      </c>
      <c r="T81" s="99">
        <v>0</v>
      </c>
      <c r="U81" s="99">
        <v>-1300</v>
      </c>
      <c r="V81" s="99">
        <v>1300</v>
      </c>
      <c r="W81" s="100">
        <v>-1300</v>
      </c>
      <c r="X81" s="101">
        <v>0</v>
      </c>
      <c r="Y81" s="102">
        <v>0</v>
      </c>
      <c r="Z81" s="103">
        <v>0</v>
      </c>
      <c r="AA81" s="104">
        <v>0</v>
      </c>
      <c r="AB81" s="103">
        <v>0</v>
      </c>
      <c r="AC81" s="104">
        <v>0</v>
      </c>
      <c r="AD81" s="103">
        <v>0</v>
      </c>
      <c r="AE81" s="104"/>
      <c r="AF81" s="103">
        <v>0</v>
      </c>
      <c r="AG81" s="666"/>
      <c r="AH81" s="103">
        <v>0</v>
      </c>
      <c r="AI81" s="103">
        <v>0</v>
      </c>
      <c r="AJ81" s="103">
        <v>0</v>
      </c>
      <c r="AK81" s="700"/>
      <c r="AM81" s="106"/>
      <c r="AN81" s="106"/>
    </row>
    <row r="82" spans="1:40">
      <c r="A82" s="144"/>
      <c r="B82" s="680"/>
      <c r="C82" s="680"/>
      <c r="D82" s="680"/>
      <c r="E82" s="676"/>
      <c r="F82" s="680"/>
      <c r="G82" s="145"/>
      <c r="H82" s="146" t="s">
        <v>131</v>
      </c>
      <c r="I82" s="147">
        <f t="shared" ref="I82:N82" si="31">SUM(I78:I80)</f>
        <v>2300</v>
      </c>
      <c r="J82" s="148">
        <f t="shared" si="31"/>
        <v>1419.85</v>
      </c>
      <c r="K82" s="147">
        <f t="shared" si="31"/>
        <v>18900</v>
      </c>
      <c r="L82" s="148">
        <f t="shared" si="31"/>
        <v>10945.9</v>
      </c>
      <c r="M82" s="147">
        <f t="shared" si="31"/>
        <v>18500</v>
      </c>
      <c r="N82" s="148">
        <f t="shared" si="31"/>
        <v>15871.17</v>
      </c>
      <c r="O82" s="149">
        <f>SUM(O78:O81)</f>
        <v>21900</v>
      </c>
      <c r="P82" s="150">
        <f>SUM(P78:P81)</f>
        <v>11900</v>
      </c>
      <c r="Q82" s="149">
        <v>19650</v>
      </c>
      <c r="R82" s="150">
        <f>SUM(R78:R81)</f>
        <v>17072.5</v>
      </c>
      <c r="S82" s="151">
        <f>SUM(S78:S81)</f>
        <v>16680</v>
      </c>
      <c r="T82" s="151">
        <f>SUM(T78:T81)</f>
        <v>16680</v>
      </c>
      <c r="U82" s="151">
        <v>-8650</v>
      </c>
      <c r="V82" s="151">
        <f>SUM(V78:V81)</f>
        <v>13800</v>
      </c>
      <c r="W82" s="152">
        <v>-10350</v>
      </c>
      <c r="X82" s="153">
        <f>SUM(X78:X81)</f>
        <v>0</v>
      </c>
      <c r="Y82" s="190">
        <v>0</v>
      </c>
      <c r="Z82" s="301">
        <v>0</v>
      </c>
      <c r="AA82" s="118">
        <v>0</v>
      </c>
      <c r="AB82" s="301">
        <f>AB78+AB79+AB80</f>
        <v>25140</v>
      </c>
      <c r="AC82" s="302">
        <v>0</v>
      </c>
      <c r="AD82" s="301">
        <f>AD78+AD79+AD80</f>
        <v>34750</v>
      </c>
      <c r="AE82" s="301">
        <f t="shared" ref="AE82" si="32">AE78+AE79+AE80</f>
        <v>-41165.449999999997</v>
      </c>
      <c r="AF82" s="301">
        <f>AF78+AF79+AF80</f>
        <v>39540</v>
      </c>
      <c r="AG82" s="301">
        <f t="shared" ref="AG82" si="33">AG78+AG79+AG80</f>
        <v>-18594.55</v>
      </c>
      <c r="AH82" s="301">
        <f>AH78+AH79+AH80</f>
        <v>39540</v>
      </c>
      <c r="AI82" s="301">
        <f>AI78+AI79+AI80</f>
        <v>39540</v>
      </c>
      <c r="AJ82" s="301">
        <f>AJ78+AJ79+AJ80</f>
        <v>52812</v>
      </c>
      <c r="AK82" s="702"/>
      <c r="AM82" s="106"/>
      <c r="AN82" s="106"/>
    </row>
    <row r="83" spans="1:40">
      <c r="A83" s="80"/>
      <c r="B83" s="14"/>
      <c r="C83" s="14"/>
      <c r="D83" s="14"/>
      <c r="E83" s="15"/>
      <c r="F83" s="14"/>
      <c r="G83" s="81"/>
      <c r="H83" s="303"/>
      <c r="I83" s="239"/>
      <c r="J83" s="240"/>
      <c r="K83" s="304"/>
      <c r="L83" s="305"/>
      <c r="M83" s="239"/>
      <c r="N83" s="306"/>
      <c r="O83" s="307"/>
      <c r="P83" s="308"/>
      <c r="Q83" s="307"/>
      <c r="R83" s="308"/>
      <c r="S83" s="309"/>
      <c r="T83" s="309"/>
      <c r="U83" s="309"/>
      <c r="V83" s="309"/>
      <c r="W83" s="310"/>
      <c r="X83" s="311"/>
      <c r="Y83" s="312"/>
      <c r="Z83" s="313"/>
      <c r="AA83" s="314"/>
      <c r="AB83" s="313"/>
      <c r="AC83" s="314"/>
      <c r="AD83" s="313"/>
      <c r="AE83" s="314"/>
      <c r="AF83" s="313"/>
      <c r="AG83" s="755"/>
      <c r="AH83" s="313"/>
      <c r="AI83" s="313"/>
      <c r="AJ83" s="313"/>
      <c r="AK83" s="712"/>
      <c r="AM83" s="106"/>
      <c r="AN83" s="106"/>
    </row>
    <row r="84" spans="1:40">
      <c r="A84" s="66">
        <v>5</v>
      </c>
      <c r="B84" s="67" t="s">
        <v>16</v>
      </c>
      <c r="C84" s="67">
        <v>1</v>
      </c>
      <c r="D84" s="67" t="s">
        <v>16</v>
      </c>
      <c r="E84" s="68" t="s">
        <v>132</v>
      </c>
      <c r="F84" s="67" t="s">
        <v>16</v>
      </c>
      <c r="G84" s="69" t="s">
        <v>70</v>
      </c>
      <c r="H84" s="238" t="s">
        <v>133</v>
      </c>
      <c r="I84" s="95"/>
      <c r="J84" s="95"/>
      <c r="K84" s="239"/>
      <c r="L84" s="240"/>
      <c r="M84" s="95"/>
      <c r="N84" s="315"/>
      <c r="O84" s="241"/>
      <c r="P84" s="242"/>
      <c r="Q84" s="241"/>
      <c r="R84" s="242"/>
      <c r="S84" s="243"/>
      <c r="T84" s="243"/>
      <c r="U84" s="243"/>
      <c r="V84" s="243"/>
      <c r="W84" s="244"/>
      <c r="X84" s="245"/>
      <c r="Y84" s="246"/>
      <c r="Z84" s="247"/>
      <c r="AA84" s="176"/>
      <c r="AB84" s="247"/>
      <c r="AC84" s="248"/>
      <c r="AD84" s="247"/>
      <c r="AE84" s="248"/>
      <c r="AF84" s="247"/>
      <c r="AG84" s="752"/>
      <c r="AH84" s="247"/>
      <c r="AI84" s="247"/>
      <c r="AJ84" s="247"/>
      <c r="AK84" s="710"/>
      <c r="AM84" s="106"/>
      <c r="AN84" s="106"/>
    </row>
    <row r="85" spans="1:40">
      <c r="A85" s="80">
        <v>5</v>
      </c>
      <c r="B85" s="14" t="s">
        <v>16</v>
      </c>
      <c r="C85" s="14">
        <v>1</v>
      </c>
      <c r="D85" s="14" t="s">
        <v>16</v>
      </c>
      <c r="E85" s="15" t="s">
        <v>132</v>
      </c>
      <c r="F85" s="14" t="s">
        <v>16</v>
      </c>
      <c r="G85" s="81" t="s">
        <v>81</v>
      </c>
      <c r="H85" s="250" t="s">
        <v>108</v>
      </c>
      <c r="I85" s="83">
        <v>1250</v>
      </c>
      <c r="J85" s="84">
        <v>608.46</v>
      </c>
      <c r="K85" s="83">
        <v>1500</v>
      </c>
      <c r="L85" s="212">
        <v>215.5</v>
      </c>
      <c r="M85" s="83">
        <v>1500</v>
      </c>
      <c r="N85" s="316">
        <v>1457.48</v>
      </c>
      <c r="O85" s="85">
        <v>1500</v>
      </c>
      <c r="P85" s="86">
        <v>0</v>
      </c>
      <c r="Q85" s="85">
        <v>750</v>
      </c>
      <c r="R85" s="86">
        <v>70.52</v>
      </c>
      <c r="S85" s="87">
        <v>1500</v>
      </c>
      <c r="T85" s="87">
        <v>1500</v>
      </c>
      <c r="U85" s="87">
        <v>-157.35</v>
      </c>
      <c r="V85" s="87">
        <v>1500</v>
      </c>
      <c r="W85" s="88">
        <v>-262.3</v>
      </c>
      <c r="X85" s="89">
        <v>1000</v>
      </c>
      <c r="Y85" s="90">
        <v>-331.73</v>
      </c>
      <c r="Z85" s="91">
        <v>1000</v>
      </c>
      <c r="AA85" s="92">
        <v>-965.37</v>
      </c>
      <c r="AB85" s="91">
        <v>1000</v>
      </c>
      <c r="AC85" s="92">
        <v>-965.37</v>
      </c>
      <c r="AD85" s="91">
        <v>1000</v>
      </c>
      <c r="AE85" s="92">
        <v>-996.37</v>
      </c>
      <c r="AF85" s="91">
        <v>1000</v>
      </c>
      <c r="AG85" s="744"/>
      <c r="AH85" s="91">
        <v>1000</v>
      </c>
      <c r="AI85" s="91">
        <v>1000</v>
      </c>
      <c r="AJ85" s="91">
        <v>1000</v>
      </c>
      <c r="AK85" s="699"/>
      <c r="AM85" s="106"/>
      <c r="AN85" s="106"/>
    </row>
    <row r="86" spans="1:40">
      <c r="A86" s="80">
        <v>5</v>
      </c>
      <c r="B86" s="14" t="s">
        <v>16</v>
      </c>
      <c r="C86" s="14">
        <v>1</v>
      </c>
      <c r="D86" s="14" t="s">
        <v>16</v>
      </c>
      <c r="E86" s="15" t="s">
        <v>132</v>
      </c>
      <c r="F86" s="14" t="s">
        <v>16</v>
      </c>
      <c r="G86" s="81" t="s">
        <v>84</v>
      </c>
      <c r="H86" s="251" t="s">
        <v>110</v>
      </c>
      <c r="I86" s="94"/>
      <c r="J86" s="95"/>
      <c r="K86" s="94">
        <f>650*1*12</f>
        <v>7800</v>
      </c>
      <c r="L86" s="95">
        <v>5850</v>
      </c>
      <c r="M86" s="94">
        <f>650*1*12</f>
        <v>7800</v>
      </c>
      <c r="N86" s="95">
        <v>7800</v>
      </c>
      <c r="O86" s="96">
        <f>650*1*12</f>
        <v>7800</v>
      </c>
      <c r="P86" s="97">
        <v>4550</v>
      </c>
      <c r="Q86" s="96">
        <v>7590</v>
      </c>
      <c r="R86" s="97">
        <v>6500</v>
      </c>
      <c r="S86" s="99">
        <v>7800</v>
      </c>
      <c r="T86" s="99">
        <v>7800</v>
      </c>
      <c r="U86" s="99">
        <v>-4550</v>
      </c>
      <c r="V86" s="87">
        <f>650*11+770</f>
        <v>7920</v>
      </c>
      <c r="W86" s="88">
        <v>-5850</v>
      </c>
      <c r="X86" s="89">
        <f>[1]Tabelle1!B11</f>
        <v>8640</v>
      </c>
      <c r="Y86" s="90">
        <v>-3600</v>
      </c>
      <c r="Z86" s="103">
        <f>X86/12*8+770*4</f>
        <v>8840</v>
      </c>
      <c r="AA86" s="104">
        <v>-6918.8</v>
      </c>
      <c r="AB86" s="103">
        <f>770*12</f>
        <v>9240</v>
      </c>
      <c r="AC86" s="104">
        <v>-6918.8</v>
      </c>
      <c r="AD86" s="103">
        <f>770*7+900*5</f>
        <v>9890</v>
      </c>
      <c r="AE86" s="104">
        <v>-10120</v>
      </c>
      <c r="AF86" s="842">
        <f>900*12</f>
        <v>10800</v>
      </c>
      <c r="AG86" s="666">
        <v>-6780</v>
      </c>
      <c r="AH86" s="842">
        <f>900*12</f>
        <v>10800</v>
      </c>
      <c r="AI86" s="842">
        <f>900*12</f>
        <v>10800</v>
      </c>
      <c r="AJ86" s="1051">
        <f>788*12</f>
        <v>9456</v>
      </c>
      <c r="AK86" s="700"/>
      <c r="AM86" s="106"/>
      <c r="AN86" s="106"/>
    </row>
    <row r="87" spans="1:40">
      <c r="A87" s="80">
        <v>5</v>
      </c>
      <c r="B87" s="14" t="s">
        <v>16</v>
      </c>
      <c r="C87" s="14">
        <v>1</v>
      </c>
      <c r="D87" s="14" t="s">
        <v>16</v>
      </c>
      <c r="E87" s="15" t="s">
        <v>132</v>
      </c>
      <c r="F87" s="14" t="s">
        <v>16</v>
      </c>
      <c r="G87" s="81" t="s">
        <v>86</v>
      </c>
      <c r="H87" s="251" t="s">
        <v>111</v>
      </c>
      <c r="I87" s="94"/>
      <c r="J87" s="95"/>
      <c r="K87" s="94">
        <f>400*2*12</f>
        <v>9600</v>
      </c>
      <c r="L87" s="95">
        <v>11700</v>
      </c>
      <c r="M87" s="94">
        <v>9600</v>
      </c>
      <c r="N87" s="95">
        <v>15500</v>
      </c>
      <c r="O87" s="96">
        <v>9600</v>
      </c>
      <c r="P87" s="97">
        <v>8413.33</v>
      </c>
      <c r="Q87" s="96">
        <v>9360</v>
      </c>
      <c r="R87" s="97">
        <v>11613.33</v>
      </c>
      <c r="S87" s="99">
        <f>40*10*9+40*11*3+4*20*10*9+4*20*11*3</f>
        <v>14760</v>
      </c>
      <c r="T87" s="99">
        <f>40*10*9+40*11*3+4*20*10*9+4*20*11*3</f>
        <v>14760</v>
      </c>
      <c r="U87" s="99">
        <v>-5600</v>
      </c>
      <c r="V87" s="87">
        <f>(40*10*9+40*12*3)*2.5</f>
        <v>12600</v>
      </c>
      <c r="W87" s="88">
        <v>-7600</v>
      </c>
      <c r="X87" s="89">
        <f>[1]Tabelle1!B9*3+[1]Tabelle1!B10</f>
        <v>20160</v>
      </c>
      <c r="Y87" s="90">
        <v>-5880</v>
      </c>
      <c r="Z87" s="132">
        <f>2.5*12*40*8+2.5*15*40*4</f>
        <v>15600</v>
      </c>
      <c r="AA87" s="133">
        <v>-20230</v>
      </c>
      <c r="AB87" s="132">
        <f>2.5*15*40*12</f>
        <v>18000</v>
      </c>
      <c r="AC87" s="133">
        <v>-20230</v>
      </c>
      <c r="AD87" s="132">
        <f>2.5*15*40*12-30</f>
        <v>17970</v>
      </c>
      <c r="AE87" s="133">
        <v>-19710</v>
      </c>
      <c r="AF87" s="841">
        <f>1.5*15*40*12</f>
        <v>10800</v>
      </c>
      <c r="AG87" s="134">
        <v>-10500</v>
      </c>
      <c r="AH87" s="669">
        <f>2.5*15*40*12</f>
        <v>18000</v>
      </c>
      <c r="AI87" s="669">
        <f>2.5*15*40*12</f>
        <v>18000</v>
      </c>
      <c r="AJ87" s="669">
        <f>2.5*15*40*12</f>
        <v>18000</v>
      </c>
      <c r="AK87" s="870" t="s">
        <v>514</v>
      </c>
      <c r="AM87" s="106"/>
      <c r="AN87" s="106"/>
    </row>
    <row r="88" spans="1:40">
      <c r="A88" s="80">
        <v>5</v>
      </c>
      <c r="B88" s="14" t="s">
        <v>16</v>
      </c>
      <c r="C88" s="14">
        <v>1</v>
      </c>
      <c r="D88" s="14" t="s">
        <v>16</v>
      </c>
      <c r="E88" s="15" t="s">
        <v>132</v>
      </c>
      <c r="F88" s="14" t="s">
        <v>16</v>
      </c>
      <c r="G88" s="81" t="s">
        <v>73</v>
      </c>
      <c r="H88" s="251" t="s">
        <v>134</v>
      </c>
      <c r="I88" s="94"/>
      <c r="J88" s="95"/>
      <c r="K88" s="94">
        <f>12*400</f>
        <v>4800</v>
      </c>
      <c r="L88" s="95">
        <v>0</v>
      </c>
      <c r="M88" s="94">
        <v>4800</v>
      </c>
      <c r="N88" s="95">
        <v>0</v>
      </c>
      <c r="O88" s="96">
        <v>4800</v>
      </c>
      <c r="P88" s="97">
        <v>0</v>
      </c>
      <c r="Q88" s="96">
        <v>4680</v>
      </c>
      <c r="R88" s="97">
        <v>400</v>
      </c>
      <c r="S88" s="99">
        <v>0</v>
      </c>
      <c r="T88" s="99">
        <v>0</v>
      </c>
      <c r="U88" s="99">
        <v>-2800</v>
      </c>
      <c r="V88" s="125">
        <f>(40*10*9+40*12*3)*1</f>
        <v>5040</v>
      </c>
      <c r="W88" s="317">
        <v>-3600</v>
      </c>
      <c r="X88" s="101">
        <v>0</v>
      </c>
      <c r="Y88" s="102">
        <v>-2400</v>
      </c>
      <c r="Z88" s="132">
        <f>1*12*40*8+1*15*40*4</f>
        <v>6240</v>
      </c>
      <c r="AA88" s="133">
        <v>-6080</v>
      </c>
      <c r="AB88" s="132">
        <f>1*15*40*12</f>
        <v>7200</v>
      </c>
      <c r="AC88" s="133">
        <v>-6080</v>
      </c>
      <c r="AD88" s="132">
        <f>1*14*40*7+15*40*5</f>
        <v>6920</v>
      </c>
      <c r="AE88" s="133">
        <v>-560</v>
      </c>
      <c r="AF88" s="841">
        <f>1*15*40*12</f>
        <v>7200</v>
      </c>
      <c r="AG88" s="134"/>
      <c r="AH88" s="841">
        <f>1*15*40*12</f>
        <v>7200</v>
      </c>
      <c r="AI88" s="841">
        <f>1*15*40*12</f>
        <v>7200</v>
      </c>
      <c r="AJ88" s="132">
        <f>1*15*40*12</f>
        <v>7200</v>
      </c>
      <c r="AK88" s="701" t="s">
        <v>515</v>
      </c>
      <c r="AM88" s="106"/>
      <c r="AN88" s="106"/>
    </row>
    <row r="89" spans="1:40">
      <c r="A89" s="144"/>
      <c r="B89" s="680"/>
      <c r="C89" s="680"/>
      <c r="D89" s="680"/>
      <c r="E89" s="676"/>
      <c r="F89" s="680"/>
      <c r="G89" s="145"/>
      <c r="H89" s="146" t="s">
        <v>135</v>
      </c>
      <c r="I89" s="147">
        <f>SUM(I85:I87)</f>
        <v>1250</v>
      </c>
      <c r="J89" s="148">
        <f>SUM(J85:J87)</f>
        <v>608.46</v>
      </c>
      <c r="K89" s="147">
        <f>SUM(K85:K88)</f>
        <v>23700</v>
      </c>
      <c r="L89" s="148">
        <f>SUM(L85:L87)</f>
        <v>17765.5</v>
      </c>
      <c r="M89" s="147">
        <f>SUM(M85:M88)</f>
        <v>23700</v>
      </c>
      <c r="N89" s="148">
        <f>SUM(N85:N88)</f>
        <v>24757.48</v>
      </c>
      <c r="O89" s="149">
        <f>SUM(O85:O88)</f>
        <v>23700</v>
      </c>
      <c r="P89" s="150">
        <f>SUM(P85:P88)</f>
        <v>12963.33</v>
      </c>
      <c r="Q89" s="149">
        <v>22380</v>
      </c>
      <c r="R89" s="150">
        <f>SUM(R85:R88)</f>
        <v>18583.849999999999</v>
      </c>
      <c r="S89" s="151">
        <f>SUM(S85:S88)</f>
        <v>24060</v>
      </c>
      <c r="T89" s="151">
        <f>SUM(T85:T88)</f>
        <v>24060</v>
      </c>
      <c r="U89" s="151">
        <v>-13107.35</v>
      </c>
      <c r="V89" s="151">
        <f>SUM(V85:V88)</f>
        <v>27060</v>
      </c>
      <c r="W89" s="152">
        <v>-17312.3</v>
      </c>
      <c r="X89" s="153">
        <f>SUM(X85:X88)</f>
        <v>29800</v>
      </c>
      <c r="Y89" s="190">
        <v>-12211.73</v>
      </c>
      <c r="Z89" s="153">
        <f>SUM(Z85:Z88)</f>
        <v>31680</v>
      </c>
      <c r="AA89" s="153">
        <f>SUM(AA85:AA88)</f>
        <v>-34194.17</v>
      </c>
      <c r="AB89" s="153">
        <f>SUM(AB85:AB88)</f>
        <v>35440</v>
      </c>
      <c r="AC89" s="155">
        <v>-34194.17</v>
      </c>
      <c r="AD89" s="153">
        <f>SUM(AD85:AD88)</f>
        <v>35780</v>
      </c>
      <c r="AE89" s="153">
        <f t="shared" ref="AE89" si="34">SUM(AE85:AE88)</f>
        <v>-31386.370000000003</v>
      </c>
      <c r="AF89" s="153">
        <f>SUM(AF85:AF88)</f>
        <v>29800</v>
      </c>
      <c r="AG89" s="153">
        <f t="shared" ref="AG89" si="35">SUM(AG85:AG88)</f>
        <v>-17280</v>
      </c>
      <c r="AH89" s="153">
        <f>SUM(AH85:AH88)</f>
        <v>37000</v>
      </c>
      <c r="AI89" s="153">
        <f>SUM(AI85:AI88)</f>
        <v>37000</v>
      </c>
      <c r="AJ89" s="153">
        <f>SUM(AJ85:AJ88)</f>
        <v>35656</v>
      </c>
      <c r="AK89" s="702"/>
      <c r="AM89" s="106"/>
      <c r="AN89" s="106"/>
    </row>
    <row r="90" spans="1:40">
      <c r="A90" s="80"/>
      <c r="B90" s="14"/>
      <c r="C90" s="14"/>
      <c r="D90" s="14"/>
      <c r="E90" s="15"/>
      <c r="F90" s="14"/>
      <c r="G90" s="81"/>
      <c r="H90" s="278"/>
      <c r="I90" s="281"/>
      <c r="J90" s="289"/>
      <c r="K90" s="281"/>
      <c r="L90" s="289"/>
      <c r="M90" s="281"/>
      <c r="N90" s="289"/>
      <c r="O90" s="121"/>
      <c r="P90" s="282"/>
      <c r="Q90" s="121"/>
      <c r="R90" s="282"/>
      <c r="S90" s="283"/>
      <c r="T90" s="283"/>
      <c r="U90" s="283"/>
      <c r="V90" s="283"/>
      <c r="W90" s="284"/>
      <c r="X90" s="285"/>
      <c r="Y90" s="286"/>
      <c r="Z90" s="287"/>
      <c r="AA90" s="118"/>
      <c r="AB90" s="287"/>
      <c r="AC90" s="288"/>
      <c r="AD90" s="287"/>
      <c r="AE90" s="288"/>
      <c r="AF90" s="287"/>
      <c r="AG90" s="753"/>
      <c r="AH90" s="287"/>
      <c r="AI90" s="287"/>
      <c r="AJ90" s="287"/>
      <c r="AK90" s="706"/>
      <c r="AM90" s="106"/>
      <c r="AN90" s="106"/>
    </row>
    <row r="91" spans="1:40">
      <c r="A91" s="66">
        <v>5</v>
      </c>
      <c r="B91" s="67" t="s">
        <v>16</v>
      </c>
      <c r="C91" s="67">
        <v>1</v>
      </c>
      <c r="D91" s="67" t="s">
        <v>16</v>
      </c>
      <c r="E91" s="68" t="s">
        <v>136</v>
      </c>
      <c r="F91" s="67" t="s">
        <v>16</v>
      </c>
      <c r="G91" s="69" t="s">
        <v>70</v>
      </c>
      <c r="H91" s="238" t="s">
        <v>137</v>
      </c>
      <c r="I91" s="239"/>
      <c r="J91" s="240"/>
      <c r="K91" s="239"/>
      <c r="L91" s="240"/>
      <c r="M91" s="239"/>
      <c r="N91" s="240"/>
      <c r="O91" s="241"/>
      <c r="P91" s="242"/>
      <c r="Q91" s="241"/>
      <c r="R91" s="242"/>
      <c r="S91" s="243"/>
      <c r="T91" s="243"/>
      <c r="U91" s="243"/>
      <c r="V91" s="243"/>
      <c r="W91" s="244"/>
      <c r="X91" s="245"/>
      <c r="Y91" s="246"/>
      <c r="Z91" s="247"/>
      <c r="AA91" s="176"/>
      <c r="AB91" s="247"/>
      <c r="AC91" s="248"/>
      <c r="AD91" s="247"/>
      <c r="AE91" s="248"/>
      <c r="AF91" s="247"/>
      <c r="AG91" s="752"/>
      <c r="AH91" s="247"/>
      <c r="AI91" s="247"/>
      <c r="AJ91" s="247"/>
      <c r="AK91" s="710"/>
      <c r="AM91" s="106"/>
      <c r="AN91" s="106"/>
    </row>
    <row r="92" spans="1:40">
      <c r="A92" s="80">
        <v>5</v>
      </c>
      <c r="B92" s="14" t="s">
        <v>16</v>
      </c>
      <c r="C92" s="14">
        <v>1</v>
      </c>
      <c r="D92" s="14" t="s">
        <v>16</v>
      </c>
      <c r="E92" s="15" t="s">
        <v>136</v>
      </c>
      <c r="F92" s="14" t="s">
        <v>16</v>
      </c>
      <c r="G92" s="81" t="s">
        <v>81</v>
      </c>
      <c r="H92" s="250" t="s">
        <v>108</v>
      </c>
      <c r="I92" s="83">
        <v>1250</v>
      </c>
      <c r="J92" s="84">
        <v>730.97</v>
      </c>
      <c r="K92" s="83">
        <v>1500</v>
      </c>
      <c r="L92" s="212">
        <v>98.55</v>
      </c>
      <c r="M92" s="83">
        <v>1500</v>
      </c>
      <c r="N92" s="84">
        <v>98.55</v>
      </c>
      <c r="O92" s="85">
        <v>1500</v>
      </c>
      <c r="P92" s="86">
        <v>0</v>
      </c>
      <c r="Q92" s="85">
        <v>750</v>
      </c>
      <c r="R92" s="86">
        <v>200</v>
      </c>
      <c r="S92" s="87">
        <v>1500</v>
      </c>
      <c r="T92" s="87">
        <v>1500</v>
      </c>
      <c r="U92" s="87">
        <v>0</v>
      </c>
      <c r="V92" s="87">
        <v>1500</v>
      </c>
      <c r="W92" s="88">
        <v>0</v>
      </c>
      <c r="X92" s="89">
        <v>1000</v>
      </c>
      <c r="Y92" s="90">
        <v>0</v>
      </c>
      <c r="Z92" s="91">
        <v>1000</v>
      </c>
      <c r="AA92" s="92">
        <v>-203.62</v>
      </c>
      <c r="AB92" s="91">
        <v>1000</v>
      </c>
      <c r="AC92" s="92">
        <v>-203.62</v>
      </c>
      <c r="AD92" s="91">
        <v>1000</v>
      </c>
      <c r="AE92" s="92">
        <v>-106.49</v>
      </c>
      <c r="AF92" s="846">
        <v>0</v>
      </c>
      <c r="AG92" s="744"/>
      <c r="AH92" s="846">
        <v>0</v>
      </c>
      <c r="AI92" s="846">
        <v>0</v>
      </c>
      <c r="AJ92" s="846">
        <v>0</v>
      </c>
      <c r="AK92" s="699"/>
      <c r="AM92" s="106"/>
      <c r="AN92" s="106"/>
    </row>
    <row r="93" spans="1:40">
      <c r="A93" s="80">
        <v>5</v>
      </c>
      <c r="B93" s="14" t="s">
        <v>16</v>
      </c>
      <c r="C93" s="14">
        <v>1</v>
      </c>
      <c r="D93" s="14" t="s">
        <v>16</v>
      </c>
      <c r="E93" s="15" t="s">
        <v>136</v>
      </c>
      <c r="F93" s="14" t="s">
        <v>16</v>
      </c>
      <c r="G93" s="81" t="s">
        <v>84</v>
      </c>
      <c r="H93" s="251" t="s">
        <v>110</v>
      </c>
      <c r="I93" s="94"/>
      <c r="J93" s="95"/>
      <c r="K93" s="94">
        <f>650*1*12</f>
        <v>7800</v>
      </c>
      <c r="L93" s="95">
        <v>5850</v>
      </c>
      <c r="M93" s="94">
        <f>7800</f>
        <v>7800</v>
      </c>
      <c r="N93" s="95">
        <v>7800</v>
      </c>
      <c r="O93" s="96">
        <f>7800</f>
        <v>7800</v>
      </c>
      <c r="P93" s="97">
        <v>4550</v>
      </c>
      <c r="Q93" s="96">
        <v>7650</v>
      </c>
      <c r="R93" s="97">
        <v>6500</v>
      </c>
      <c r="S93" s="99">
        <v>7800</v>
      </c>
      <c r="T93" s="99">
        <v>7800</v>
      </c>
      <c r="U93" s="99">
        <v>-4550</v>
      </c>
      <c r="V93" s="87">
        <f>650*11+770</f>
        <v>7920</v>
      </c>
      <c r="W93" s="88">
        <v>-5850</v>
      </c>
      <c r="X93" s="89">
        <f>[1]Tabelle1!B11</f>
        <v>8640</v>
      </c>
      <c r="Y93" s="90">
        <v>-3600</v>
      </c>
      <c r="Z93" s="103">
        <f>X93/12*8+770*4</f>
        <v>8840</v>
      </c>
      <c r="AA93" s="104">
        <v>-8840</v>
      </c>
      <c r="AB93" s="103">
        <f>770*12</f>
        <v>9240</v>
      </c>
      <c r="AC93" s="104">
        <v>-8840</v>
      </c>
      <c r="AD93" s="103">
        <f>770*7+900*5</f>
        <v>9890</v>
      </c>
      <c r="AE93" s="104">
        <v>-8542</v>
      </c>
      <c r="AF93" s="842">
        <v>0</v>
      </c>
      <c r="AG93" s="666"/>
      <c r="AH93" s="842">
        <v>0</v>
      </c>
      <c r="AI93" s="842">
        <v>0</v>
      </c>
      <c r="AJ93" s="842">
        <v>0</v>
      </c>
      <c r="AK93" s="700"/>
      <c r="AM93" s="106"/>
      <c r="AN93" s="106"/>
    </row>
    <row r="94" spans="1:40">
      <c r="A94" s="140">
        <v>5</v>
      </c>
      <c r="B94" s="12" t="s">
        <v>16</v>
      </c>
      <c r="C94" s="12">
        <v>1</v>
      </c>
      <c r="D94" s="12" t="s">
        <v>16</v>
      </c>
      <c r="E94" s="690" t="s">
        <v>136</v>
      </c>
      <c r="F94" s="12" t="s">
        <v>16</v>
      </c>
      <c r="G94" s="141" t="s">
        <v>86</v>
      </c>
      <c r="H94" s="251" t="s">
        <v>111</v>
      </c>
      <c r="I94" s="94"/>
      <c r="J94" s="95"/>
      <c r="K94" s="94">
        <f>400*2*12</f>
        <v>9600</v>
      </c>
      <c r="L94" s="95">
        <v>6640</v>
      </c>
      <c r="M94" s="94">
        <v>9600</v>
      </c>
      <c r="N94" s="95">
        <v>8740</v>
      </c>
      <c r="O94" s="96">
        <v>9600</v>
      </c>
      <c r="P94" s="97">
        <v>5426.66</v>
      </c>
      <c r="Q94" s="96">
        <v>12000</v>
      </c>
      <c r="R94" s="97">
        <v>7826.66</v>
      </c>
      <c r="S94" s="99">
        <f>4*40*10*9+4*40*11*3</f>
        <v>19680</v>
      </c>
      <c r="T94" s="99">
        <f>4*40*10*9+4*40*11*3</f>
        <v>19680</v>
      </c>
      <c r="U94" s="99">
        <v>-9600</v>
      </c>
      <c r="V94" s="87">
        <f>Semesterticket!B3*4</f>
        <v>0</v>
      </c>
      <c r="W94" s="88">
        <v>-12800</v>
      </c>
      <c r="X94" s="89">
        <f>[1]Tabelle1!B9*3+[1]Tabelle1!B10*3</f>
        <v>25920</v>
      </c>
      <c r="Y94" s="90">
        <v>-8760</v>
      </c>
      <c r="Z94" s="103">
        <f>X94/12*8+4*15*40*4</f>
        <v>26880</v>
      </c>
      <c r="AA94" s="104">
        <v>-24546.66</v>
      </c>
      <c r="AB94" s="103">
        <f>4*15*40*12</f>
        <v>28800</v>
      </c>
      <c r="AC94" s="104">
        <v>-24546.66</v>
      </c>
      <c r="AD94" s="103">
        <f>4*15*40*12-280</f>
        <v>28520</v>
      </c>
      <c r="AE94" s="104">
        <v>-27874</v>
      </c>
      <c r="AF94" s="842">
        <v>0</v>
      </c>
      <c r="AG94" s="666"/>
      <c r="AH94" s="842">
        <v>0</v>
      </c>
      <c r="AI94" s="842">
        <v>0</v>
      </c>
      <c r="AJ94" s="842">
        <v>0</v>
      </c>
      <c r="AK94" s="738"/>
      <c r="AM94" s="106"/>
      <c r="AN94" s="106"/>
    </row>
    <row r="95" spans="1:40" ht="15" customHeight="1">
      <c r="A95" s="144"/>
      <c r="B95" s="680"/>
      <c r="C95" s="680"/>
      <c r="D95" s="680"/>
      <c r="E95" s="676"/>
      <c r="F95" s="680"/>
      <c r="G95" s="145"/>
      <c r="H95" s="146" t="s">
        <v>138</v>
      </c>
      <c r="I95" s="147">
        <f t="shared" ref="I95:P95" si="36">SUM(I92:I94)</f>
        <v>1250</v>
      </c>
      <c r="J95" s="148">
        <f t="shared" si="36"/>
        <v>730.97</v>
      </c>
      <c r="K95" s="147">
        <f t="shared" si="36"/>
        <v>18900</v>
      </c>
      <c r="L95" s="148">
        <f t="shared" si="36"/>
        <v>12588.55</v>
      </c>
      <c r="M95" s="147">
        <f t="shared" si="36"/>
        <v>18900</v>
      </c>
      <c r="N95" s="148">
        <f t="shared" si="36"/>
        <v>16638.55</v>
      </c>
      <c r="O95" s="149">
        <f t="shared" si="36"/>
        <v>18900</v>
      </c>
      <c r="P95" s="150">
        <f t="shared" si="36"/>
        <v>9976.66</v>
      </c>
      <c r="Q95" s="149">
        <v>20400</v>
      </c>
      <c r="R95" s="150">
        <f>SUM(R92:R94)</f>
        <v>14526.66</v>
      </c>
      <c r="S95" s="151">
        <f>SUM(S92:S94)</f>
        <v>28980</v>
      </c>
      <c r="T95" s="151">
        <f>SUM(T92:T94)</f>
        <v>28980</v>
      </c>
      <c r="U95" s="151">
        <v>-14150</v>
      </c>
      <c r="V95" s="151">
        <f>SUM(V92:V94)</f>
        <v>9420</v>
      </c>
      <c r="W95" s="152">
        <v>-18650</v>
      </c>
      <c r="X95" s="153">
        <f>SUM(X92:X94)</f>
        <v>35560</v>
      </c>
      <c r="Y95" s="190">
        <v>-12360</v>
      </c>
      <c r="Z95" s="153">
        <f>SUM(Z92:Z94)</f>
        <v>36720</v>
      </c>
      <c r="AA95" s="153">
        <f>SUM(AA92:AA94)</f>
        <v>-33590.28</v>
      </c>
      <c r="AB95" s="153">
        <f>SUM(AB92:AB94)</f>
        <v>39040</v>
      </c>
      <c r="AC95" s="155">
        <v>-33590.28</v>
      </c>
      <c r="AD95" s="153">
        <f>SUM(AD92:AD94)</f>
        <v>39410</v>
      </c>
      <c r="AE95" s="153">
        <f t="shared" ref="AE95" si="37">SUM(AE92:AE94)</f>
        <v>-36522.49</v>
      </c>
      <c r="AF95" s="153">
        <f>SUM(AF92:AF94)</f>
        <v>0</v>
      </c>
      <c r="AG95" s="153">
        <f t="shared" ref="AG95" si="38">SUM(AG92:AG94)</f>
        <v>0</v>
      </c>
      <c r="AH95" s="153">
        <f>SUM(AH92:AH94)</f>
        <v>0</v>
      </c>
      <c r="AI95" s="153">
        <f>SUM(AI92:AI94)</f>
        <v>0</v>
      </c>
      <c r="AJ95" s="153">
        <f>SUM(AJ92:AJ94)</f>
        <v>0</v>
      </c>
      <c r="AK95" s="702"/>
      <c r="AM95" s="106"/>
      <c r="AN95" s="106"/>
    </row>
    <row r="96" spans="1:40">
      <c r="A96" s="80"/>
      <c r="B96" s="14"/>
      <c r="C96" s="14"/>
      <c r="D96" s="14"/>
      <c r="E96" s="15"/>
      <c r="F96" s="14"/>
      <c r="G96" s="81"/>
      <c r="H96" s="278"/>
      <c r="I96" s="281"/>
      <c r="J96" s="289"/>
      <c r="K96" s="281"/>
      <c r="L96" s="289"/>
      <c r="M96" s="281"/>
      <c r="N96" s="289"/>
      <c r="O96" s="121"/>
      <c r="P96" s="282"/>
      <c r="Q96" s="121"/>
      <c r="R96" s="282"/>
      <c r="S96" s="283"/>
      <c r="T96" s="283"/>
      <c r="U96" s="283"/>
      <c r="V96" s="283"/>
      <c r="W96" s="284"/>
      <c r="X96" s="285"/>
      <c r="Y96" s="286"/>
      <c r="Z96" s="287"/>
      <c r="AA96" s="118"/>
      <c r="AB96" s="287"/>
      <c r="AC96" s="288"/>
      <c r="AD96" s="287"/>
      <c r="AE96" s="288"/>
      <c r="AF96" s="287"/>
      <c r="AG96" s="753"/>
      <c r="AH96" s="287"/>
      <c r="AI96" s="287"/>
      <c r="AJ96" s="287"/>
      <c r="AK96" s="706"/>
      <c r="AM96" s="106"/>
      <c r="AN96" s="106"/>
    </row>
    <row r="97" spans="1:1026">
      <c r="A97" s="66">
        <v>5</v>
      </c>
      <c r="B97" s="67" t="s">
        <v>16</v>
      </c>
      <c r="C97" s="67">
        <v>1</v>
      </c>
      <c r="D97" s="67" t="s">
        <v>16</v>
      </c>
      <c r="E97" s="68" t="s">
        <v>139</v>
      </c>
      <c r="F97" s="67" t="s">
        <v>16</v>
      </c>
      <c r="G97" s="69" t="s">
        <v>70</v>
      </c>
      <c r="H97" s="166" t="s">
        <v>140</v>
      </c>
      <c r="I97" s="239"/>
      <c r="J97" s="240"/>
      <c r="K97" s="239"/>
      <c r="L97" s="240"/>
      <c r="M97" s="239"/>
      <c r="N97" s="240"/>
      <c r="O97" s="241"/>
      <c r="P97" s="242"/>
      <c r="Q97" s="241"/>
      <c r="R97" s="242"/>
      <c r="S97" s="243"/>
      <c r="T97" s="243"/>
      <c r="U97" s="243"/>
      <c r="V97" s="243"/>
      <c r="W97" s="244"/>
      <c r="X97" s="245"/>
      <c r="Y97" s="246"/>
      <c r="Z97" s="247"/>
      <c r="AA97" s="176"/>
      <c r="AB97" s="247"/>
      <c r="AC97" s="248"/>
      <c r="AD97" s="247"/>
      <c r="AE97" s="248"/>
      <c r="AF97" s="247"/>
      <c r="AG97" s="752"/>
      <c r="AH97" s="247"/>
      <c r="AI97" s="247"/>
      <c r="AJ97" s="247"/>
      <c r="AK97" s="710"/>
      <c r="AM97" s="106"/>
      <c r="AN97" s="106"/>
    </row>
    <row r="98" spans="1:1026">
      <c r="A98" s="80">
        <v>5</v>
      </c>
      <c r="B98" s="14" t="s">
        <v>16</v>
      </c>
      <c r="C98" s="14">
        <v>1</v>
      </c>
      <c r="D98" s="14" t="s">
        <v>16</v>
      </c>
      <c r="E98" s="15" t="s">
        <v>139</v>
      </c>
      <c r="F98" s="14" t="s">
        <v>16</v>
      </c>
      <c r="G98" s="81" t="s">
        <v>81</v>
      </c>
      <c r="H98" s="250" t="s">
        <v>108</v>
      </c>
      <c r="I98" s="83">
        <v>1500</v>
      </c>
      <c r="J98" s="84">
        <v>1476.35</v>
      </c>
      <c r="K98" s="83">
        <v>1500</v>
      </c>
      <c r="L98" s="84">
        <v>60.59</v>
      </c>
      <c r="M98" s="83">
        <v>2500</v>
      </c>
      <c r="N98" s="84">
        <v>1030.76</v>
      </c>
      <c r="O98" s="85">
        <v>3000</v>
      </c>
      <c r="P98" s="86">
        <v>1099.5899999999999</v>
      </c>
      <c r="Q98" s="85">
        <v>1500</v>
      </c>
      <c r="R98" s="86">
        <v>1271</v>
      </c>
      <c r="S98" s="87">
        <v>1500</v>
      </c>
      <c r="T98" s="87">
        <v>1500</v>
      </c>
      <c r="U98" s="87">
        <v>-686.63</v>
      </c>
      <c r="V98" s="87">
        <v>1500</v>
      </c>
      <c r="W98" s="88">
        <v>-833.37</v>
      </c>
      <c r="X98" s="89">
        <v>1000</v>
      </c>
      <c r="Y98" s="90">
        <v>-260.81</v>
      </c>
      <c r="Z98" s="91">
        <v>1000</v>
      </c>
      <c r="AA98" s="92">
        <v>-874.48</v>
      </c>
      <c r="AB98" s="91">
        <v>1000</v>
      </c>
      <c r="AC98" s="92">
        <v>-874.48</v>
      </c>
      <c r="AD98" s="91">
        <v>1000</v>
      </c>
      <c r="AE98" s="92">
        <v>-869.07</v>
      </c>
      <c r="AF98" s="91">
        <v>1000</v>
      </c>
      <c r="AG98" s="744"/>
      <c r="AH98" s="91">
        <v>1000</v>
      </c>
      <c r="AI98" s="91">
        <v>1000</v>
      </c>
      <c r="AJ98" s="91">
        <v>1000</v>
      </c>
      <c r="AK98" s="707"/>
      <c r="AM98" s="106"/>
      <c r="AN98" s="106"/>
    </row>
    <row r="99" spans="1:1026">
      <c r="A99" s="80">
        <v>5</v>
      </c>
      <c r="B99" s="14" t="s">
        <v>16</v>
      </c>
      <c r="C99" s="14">
        <v>1</v>
      </c>
      <c r="D99" s="14" t="s">
        <v>16</v>
      </c>
      <c r="E99" s="15" t="s">
        <v>139</v>
      </c>
      <c r="F99" s="14" t="s">
        <v>16</v>
      </c>
      <c r="G99" s="81" t="s">
        <v>84</v>
      </c>
      <c r="H99" s="251" t="s">
        <v>110</v>
      </c>
      <c r="I99" s="94"/>
      <c r="J99" s="95"/>
      <c r="K99" s="94">
        <f>650*1*12</f>
        <v>7800</v>
      </c>
      <c r="L99" s="95">
        <v>5850</v>
      </c>
      <c r="M99" s="94">
        <v>9100</v>
      </c>
      <c r="N99" s="95">
        <v>9425</v>
      </c>
      <c r="O99" s="96">
        <f>650*2*12</f>
        <v>15600</v>
      </c>
      <c r="P99" s="97">
        <v>9100</v>
      </c>
      <c r="Q99" s="96">
        <v>16980</v>
      </c>
      <c r="R99" s="97">
        <v>13000</v>
      </c>
      <c r="S99" s="99">
        <f>3*650*12</f>
        <v>23400</v>
      </c>
      <c r="T99" s="99">
        <f>3*650*12</f>
        <v>23400</v>
      </c>
      <c r="U99" s="99">
        <v>-12350</v>
      </c>
      <c r="V99" s="87">
        <f>(650*11+770)*3</f>
        <v>23760</v>
      </c>
      <c r="W99" s="318">
        <v>-16250</v>
      </c>
      <c r="X99" s="89">
        <f>[1]Tabelle1!B11*3</f>
        <v>25920</v>
      </c>
      <c r="Y99" s="90">
        <v>-14400</v>
      </c>
      <c r="Z99" s="103">
        <f>X99/12*8+770*4*3</f>
        <v>26520</v>
      </c>
      <c r="AA99" s="104">
        <v>-28830</v>
      </c>
      <c r="AB99" s="103">
        <f>770*4*3</f>
        <v>9240</v>
      </c>
      <c r="AC99" s="104">
        <v>-28830</v>
      </c>
      <c r="AD99" s="103">
        <f>770*7+900*5</f>
        <v>9890</v>
      </c>
      <c r="AE99" s="104">
        <v>-14734</v>
      </c>
      <c r="AF99" s="842">
        <f>788*12</f>
        <v>9456</v>
      </c>
      <c r="AG99" s="666">
        <v>-5928</v>
      </c>
      <c r="AH99" s="842">
        <f>788*12</f>
        <v>9456</v>
      </c>
      <c r="AI99" s="842">
        <f>788*12</f>
        <v>9456</v>
      </c>
      <c r="AJ99" s="842">
        <f>788*12</f>
        <v>9456</v>
      </c>
      <c r="AK99" s="700"/>
      <c r="AM99" s="106"/>
      <c r="AN99" s="106"/>
    </row>
    <row r="100" spans="1:1026">
      <c r="A100" s="80">
        <v>5</v>
      </c>
      <c r="B100" s="14" t="s">
        <v>16</v>
      </c>
      <c r="C100" s="14">
        <v>1</v>
      </c>
      <c r="D100" s="14" t="s">
        <v>16</v>
      </c>
      <c r="E100" s="15" t="s">
        <v>139</v>
      </c>
      <c r="F100" s="14" t="s">
        <v>16</v>
      </c>
      <c r="G100" s="81" t="s">
        <v>86</v>
      </c>
      <c r="H100" s="251" t="s">
        <v>111</v>
      </c>
      <c r="I100" s="94"/>
      <c r="J100" s="95"/>
      <c r="K100" s="94">
        <f>400*2*12</f>
        <v>9600</v>
      </c>
      <c r="L100" s="95">
        <v>5470</v>
      </c>
      <c r="M100" s="94">
        <v>9600</v>
      </c>
      <c r="N100" s="95">
        <v>7470</v>
      </c>
      <c r="O100" s="96">
        <v>9600</v>
      </c>
      <c r="P100" s="97">
        <v>5600</v>
      </c>
      <c r="Q100" s="96">
        <v>9360</v>
      </c>
      <c r="R100" s="97">
        <v>8000</v>
      </c>
      <c r="S100" s="99">
        <f>2*40*10*9+2*40*11*3</f>
        <v>9840</v>
      </c>
      <c r="T100" s="99">
        <f>2*40*10*9+2*40*11*3</f>
        <v>9840</v>
      </c>
      <c r="U100" s="99">
        <v>-4140</v>
      </c>
      <c r="V100" s="87">
        <f>Semesterticket!B3*2</f>
        <v>0</v>
      </c>
      <c r="W100" s="88">
        <v>-4770</v>
      </c>
      <c r="X100" s="89">
        <f>[1]Tabelle1!B9*1+2*[1]Tabelle1!B10</f>
        <v>11520</v>
      </c>
      <c r="Y100" s="90">
        <v>-3757.2</v>
      </c>
      <c r="Z100" s="132">
        <f>X100/12*8+4*15*40*4</f>
        <v>17280</v>
      </c>
      <c r="AA100" s="133">
        <v>-11837.2</v>
      </c>
      <c r="AB100" s="132">
        <f>2*15*40*12</f>
        <v>14400</v>
      </c>
      <c r="AC100" s="133">
        <v>-11837.2</v>
      </c>
      <c r="AD100" s="132">
        <f>2*15*40*12-930</f>
        <v>13470</v>
      </c>
      <c r="AE100" s="133">
        <v>-11190</v>
      </c>
      <c r="AF100" s="847">
        <f>2*15*40*12</f>
        <v>14400</v>
      </c>
      <c r="AG100" s="134">
        <v>-2220</v>
      </c>
      <c r="AH100" s="671">
        <f>1*15*40*12</f>
        <v>7200</v>
      </c>
      <c r="AI100" s="671">
        <f>1*15*40*12</f>
        <v>7200</v>
      </c>
      <c r="AJ100" s="670">
        <f>1*15*40*12</f>
        <v>7200</v>
      </c>
      <c r="AK100" s="870" t="s">
        <v>516</v>
      </c>
      <c r="AM100" s="106"/>
      <c r="AN100" s="106"/>
    </row>
    <row r="101" spans="1:1026">
      <c r="A101" s="144"/>
      <c r="B101" s="680"/>
      <c r="C101" s="680"/>
      <c r="D101" s="680"/>
      <c r="E101" s="676"/>
      <c r="F101" s="680"/>
      <c r="G101" s="145"/>
      <c r="H101" s="146" t="s">
        <v>141</v>
      </c>
      <c r="I101" s="147">
        <f t="shared" ref="I101:P101" si="39">SUM(I98:I100)</f>
        <v>1500</v>
      </c>
      <c r="J101" s="148">
        <f t="shared" si="39"/>
        <v>1476.35</v>
      </c>
      <c r="K101" s="147">
        <f t="shared" si="39"/>
        <v>18900</v>
      </c>
      <c r="L101" s="148">
        <f t="shared" si="39"/>
        <v>11380.59</v>
      </c>
      <c r="M101" s="147">
        <f t="shared" si="39"/>
        <v>21200</v>
      </c>
      <c r="N101" s="148">
        <f t="shared" si="39"/>
        <v>17925.760000000002</v>
      </c>
      <c r="O101" s="149">
        <f t="shared" si="39"/>
        <v>28200</v>
      </c>
      <c r="P101" s="150">
        <f t="shared" si="39"/>
        <v>15799.59</v>
      </c>
      <c r="Q101" s="149">
        <v>27840</v>
      </c>
      <c r="R101" s="150">
        <f>SUM(R98:R100)</f>
        <v>22271</v>
      </c>
      <c r="S101" s="151">
        <f>SUM(S98:S100)</f>
        <v>34740</v>
      </c>
      <c r="T101" s="151">
        <f>SUM(T98:T100)</f>
        <v>34740</v>
      </c>
      <c r="U101" s="151">
        <v>-17176.63</v>
      </c>
      <c r="V101" s="151">
        <f>SUM(V98:V100)</f>
        <v>25260</v>
      </c>
      <c r="W101" s="152">
        <v>-21853.37</v>
      </c>
      <c r="X101" s="153">
        <f>SUM(X98:X100)</f>
        <v>38440</v>
      </c>
      <c r="Y101" s="190">
        <v>-18418.009999999998</v>
      </c>
      <c r="Z101" s="153">
        <f>SUM(Z98:Z100)</f>
        <v>44800</v>
      </c>
      <c r="AA101" s="153">
        <f>SUM(AA98:AA100)</f>
        <v>-41541.68</v>
      </c>
      <c r="AB101" s="153">
        <f>SUM(AB98:AB100)</f>
        <v>24640</v>
      </c>
      <c r="AC101" s="155">
        <v>-41541.68</v>
      </c>
      <c r="AD101" s="153">
        <f>SUM(AD98:AD100)</f>
        <v>24360</v>
      </c>
      <c r="AE101" s="153">
        <f t="shared" ref="AE101" si="40">SUM(AE98:AE100)</f>
        <v>-26793.07</v>
      </c>
      <c r="AF101" s="153">
        <f>SUM(AF98:AF100)</f>
        <v>24856</v>
      </c>
      <c r="AG101" s="153">
        <f t="shared" ref="AG101" si="41">SUM(AG98:AG100)</f>
        <v>-8148</v>
      </c>
      <c r="AH101" s="153">
        <f>SUM(AH98:AH100)</f>
        <v>17656</v>
      </c>
      <c r="AI101" s="153">
        <f>SUM(AI98:AI100)</f>
        <v>17656</v>
      </c>
      <c r="AJ101" s="153">
        <f>SUM(AJ98:AJ100)</f>
        <v>17656</v>
      </c>
      <c r="AK101" s="702"/>
      <c r="AM101" s="106"/>
      <c r="AN101" s="106"/>
    </row>
    <row r="102" spans="1:1026">
      <c r="A102" s="80"/>
      <c r="B102" s="14"/>
      <c r="C102" s="14"/>
      <c r="D102" s="14"/>
      <c r="E102" s="15"/>
      <c r="F102" s="14"/>
      <c r="G102" s="81"/>
      <c r="H102" s="278"/>
      <c r="I102" s="281"/>
      <c r="J102" s="289"/>
      <c r="K102" s="281"/>
      <c r="L102" s="289"/>
      <c r="M102" s="281"/>
      <c r="N102" s="289"/>
      <c r="O102" s="121"/>
      <c r="P102" s="282"/>
      <c r="Q102" s="121"/>
      <c r="R102" s="282"/>
      <c r="S102" s="283"/>
      <c r="T102" s="283"/>
      <c r="U102" s="283"/>
      <c r="V102" s="283"/>
      <c r="W102" s="284"/>
      <c r="X102" s="285"/>
      <c r="Y102" s="286"/>
      <c r="Z102" s="287"/>
      <c r="AA102" s="118"/>
      <c r="AB102" s="287"/>
      <c r="AC102" s="288"/>
      <c r="AD102" s="287"/>
      <c r="AE102" s="288"/>
      <c r="AF102" s="287"/>
      <c r="AG102" s="753"/>
      <c r="AH102" s="287"/>
      <c r="AI102" s="287"/>
      <c r="AJ102" s="287"/>
      <c r="AK102" s="706"/>
      <c r="AM102" s="106"/>
      <c r="AN102" s="106"/>
    </row>
    <row r="103" spans="1:1026">
      <c r="A103" s="66">
        <v>5</v>
      </c>
      <c r="B103" s="67" t="s">
        <v>16</v>
      </c>
      <c r="C103" s="67">
        <v>1</v>
      </c>
      <c r="D103" s="67" t="s">
        <v>16</v>
      </c>
      <c r="E103" s="68" t="s">
        <v>142</v>
      </c>
      <c r="F103" s="67" t="s">
        <v>16</v>
      </c>
      <c r="G103" s="69" t="s">
        <v>70</v>
      </c>
      <c r="H103" s="238" t="s">
        <v>143</v>
      </c>
      <c r="I103" s="239"/>
      <c r="J103" s="240"/>
      <c r="K103" s="239"/>
      <c r="L103" s="240"/>
      <c r="M103" s="239"/>
      <c r="N103" s="240"/>
      <c r="O103" s="241"/>
      <c r="P103" s="242"/>
      <c r="Q103" s="241"/>
      <c r="R103" s="242"/>
      <c r="S103" s="243"/>
      <c r="T103" s="243"/>
      <c r="U103" s="243"/>
      <c r="V103" s="243"/>
      <c r="W103" s="244"/>
      <c r="X103" s="245"/>
      <c r="Y103" s="246"/>
      <c r="Z103" s="247"/>
      <c r="AA103" s="176"/>
      <c r="AB103" s="247"/>
      <c r="AC103" s="248"/>
      <c r="AD103" s="247"/>
      <c r="AE103" s="248"/>
      <c r="AF103" s="247"/>
      <c r="AG103" s="752"/>
      <c r="AH103" s="247"/>
      <c r="AI103" s="247"/>
      <c r="AJ103" s="247"/>
      <c r="AK103" s="710"/>
      <c r="AM103" s="106"/>
      <c r="AN103" s="106"/>
    </row>
    <row r="104" spans="1:1026">
      <c r="A104" s="80">
        <v>5</v>
      </c>
      <c r="B104" s="14" t="s">
        <v>16</v>
      </c>
      <c r="C104" s="14">
        <v>1</v>
      </c>
      <c r="D104" s="14" t="s">
        <v>16</v>
      </c>
      <c r="E104" s="15" t="s">
        <v>142</v>
      </c>
      <c r="F104" s="14" t="s">
        <v>16</v>
      </c>
      <c r="G104" s="81" t="s">
        <v>81</v>
      </c>
      <c r="H104" s="250" t="s">
        <v>108</v>
      </c>
      <c r="I104" s="83">
        <v>1250</v>
      </c>
      <c r="J104" s="84">
        <v>350.53</v>
      </c>
      <c r="K104" s="83">
        <v>1500</v>
      </c>
      <c r="L104" s="212">
        <v>0</v>
      </c>
      <c r="M104" s="83">
        <v>1500</v>
      </c>
      <c r="N104" s="84">
        <v>193.52</v>
      </c>
      <c r="O104" s="85">
        <v>1500</v>
      </c>
      <c r="P104" s="86">
        <v>86.24</v>
      </c>
      <c r="Q104" s="85">
        <v>750</v>
      </c>
      <c r="R104" s="86">
        <v>880.57</v>
      </c>
      <c r="S104" s="87">
        <v>1500</v>
      </c>
      <c r="T104" s="87">
        <v>1500</v>
      </c>
      <c r="U104" s="87">
        <v>-64.56</v>
      </c>
      <c r="V104" s="87">
        <v>1500</v>
      </c>
      <c r="W104" s="88">
        <v>-233.75</v>
      </c>
      <c r="X104" s="89">
        <v>1000</v>
      </c>
      <c r="Y104" s="90">
        <v>-129.69999999999999</v>
      </c>
      <c r="Z104" s="91">
        <v>1000</v>
      </c>
      <c r="AA104" s="92">
        <v>-389.63</v>
      </c>
      <c r="AB104" s="91">
        <v>1000</v>
      </c>
      <c r="AC104" s="92">
        <v>-389.63</v>
      </c>
      <c r="AD104" s="91">
        <v>1000</v>
      </c>
      <c r="AE104" s="92">
        <v>-272.86</v>
      </c>
      <c r="AF104" s="91">
        <v>1000</v>
      </c>
      <c r="AG104" s="744">
        <v>-490.63</v>
      </c>
      <c r="AH104" s="91">
        <v>1000</v>
      </c>
      <c r="AI104" s="91">
        <v>1000</v>
      </c>
      <c r="AJ104" s="91">
        <v>1000</v>
      </c>
      <c r="AK104" s="707"/>
      <c r="AM104" s="106"/>
      <c r="AN104" s="106"/>
    </row>
    <row r="105" spans="1:1026">
      <c r="A105" s="80">
        <v>5</v>
      </c>
      <c r="B105" s="14" t="s">
        <v>16</v>
      </c>
      <c r="C105" s="14">
        <v>1</v>
      </c>
      <c r="D105" s="14" t="s">
        <v>16</v>
      </c>
      <c r="E105" s="15" t="s">
        <v>142</v>
      </c>
      <c r="F105" s="14" t="s">
        <v>16</v>
      </c>
      <c r="G105" s="81" t="s">
        <v>84</v>
      </c>
      <c r="H105" s="251" t="s">
        <v>110</v>
      </c>
      <c r="I105" s="94"/>
      <c r="J105" s="95"/>
      <c r="K105" s="94">
        <f>650*1*12</f>
        <v>7800</v>
      </c>
      <c r="L105" s="95">
        <v>5850</v>
      </c>
      <c r="M105" s="94">
        <f>7800</f>
        <v>7800</v>
      </c>
      <c r="N105" s="95">
        <v>7800</v>
      </c>
      <c r="O105" s="96">
        <f>7800</f>
        <v>7800</v>
      </c>
      <c r="P105" s="97">
        <v>4550</v>
      </c>
      <c r="Q105" s="96">
        <v>9450</v>
      </c>
      <c r="R105" s="97">
        <v>6500</v>
      </c>
      <c r="S105" s="99">
        <f>2*650*12</f>
        <v>15600</v>
      </c>
      <c r="T105" s="99">
        <f>2*650*12</f>
        <v>15600</v>
      </c>
      <c r="U105" s="99">
        <v>-7800</v>
      </c>
      <c r="V105" s="87">
        <f>(650*11+770)*2</f>
        <v>15840</v>
      </c>
      <c r="W105" s="88">
        <v>-10400</v>
      </c>
      <c r="X105" s="89">
        <f>[1]Tabelle1!B11</f>
        <v>8640</v>
      </c>
      <c r="Y105" s="90">
        <v>0</v>
      </c>
      <c r="Z105" s="103">
        <f>X105/12*8+770*4</f>
        <v>8840</v>
      </c>
      <c r="AA105" s="104">
        <v>-6530</v>
      </c>
      <c r="AB105" s="103">
        <f>770*12</f>
        <v>9240</v>
      </c>
      <c r="AC105" s="104">
        <v>-6530</v>
      </c>
      <c r="AD105" s="103">
        <f>770*7+900*5</f>
        <v>9890</v>
      </c>
      <c r="AE105" s="104">
        <v>-7040</v>
      </c>
      <c r="AF105" s="848">
        <f>900*12</f>
        <v>10800</v>
      </c>
      <c r="AG105" s="666">
        <v>-5400</v>
      </c>
      <c r="AH105" s="848">
        <f>900*12</f>
        <v>10800</v>
      </c>
      <c r="AI105" s="848">
        <f>900*12</f>
        <v>10800</v>
      </c>
      <c r="AJ105" s="1051">
        <f>788*3+900*9</f>
        <v>10464</v>
      </c>
      <c r="AK105" s="700"/>
      <c r="AM105" s="106"/>
      <c r="AN105" s="106"/>
    </row>
    <row r="106" spans="1:1026" s="902" customFormat="1">
      <c r="A106" s="882">
        <v>5</v>
      </c>
      <c r="B106" s="883" t="s">
        <v>16</v>
      </c>
      <c r="C106" s="883">
        <v>1</v>
      </c>
      <c r="D106" s="883" t="s">
        <v>16</v>
      </c>
      <c r="E106" s="884" t="s">
        <v>142</v>
      </c>
      <c r="F106" s="883" t="s">
        <v>16</v>
      </c>
      <c r="G106" s="885" t="s">
        <v>86</v>
      </c>
      <c r="H106" s="886" t="s">
        <v>111</v>
      </c>
      <c r="I106" s="926"/>
      <c r="J106" s="927"/>
      <c r="K106" s="926">
        <f>400*2*12</f>
        <v>9600</v>
      </c>
      <c r="L106" s="927">
        <v>4050</v>
      </c>
      <c r="M106" s="926">
        <v>9600</v>
      </c>
      <c r="N106" s="927">
        <v>6100</v>
      </c>
      <c r="O106" s="929">
        <v>9600</v>
      </c>
      <c r="P106" s="930">
        <v>5426.66</v>
      </c>
      <c r="Q106" s="929">
        <v>10800</v>
      </c>
      <c r="R106" s="930">
        <v>7826.66</v>
      </c>
      <c r="S106" s="931">
        <f>3*40*10*9+3*40*11*3</f>
        <v>14760</v>
      </c>
      <c r="T106" s="931">
        <f>3*40*10*9+3*40*11*3</f>
        <v>14760</v>
      </c>
      <c r="U106" s="931">
        <v>-6713.22</v>
      </c>
      <c r="V106" s="918">
        <f>Semesterticket!B3*3</f>
        <v>0</v>
      </c>
      <c r="W106" s="948">
        <v>-9704.7800000000007</v>
      </c>
      <c r="X106" s="921">
        <f>2*[1]Tabelle1!B9+2*[1]Tabelle1!B10</f>
        <v>17280</v>
      </c>
      <c r="Y106" s="922">
        <v>-9600</v>
      </c>
      <c r="Z106" s="935">
        <f>X106/12*8+3*15*40*4</f>
        <v>18720</v>
      </c>
      <c r="AA106" s="936">
        <v>-19658.669999999998</v>
      </c>
      <c r="AB106" s="935">
        <f>3*15*40*12</f>
        <v>21600</v>
      </c>
      <c r="AC106" s="936">
        <v>-19658.669999999998</v>
      </c>
      <c r="AD106" s="935">
        <f>3*15*40*12-700</f>
        <v>20900</v>
      </c>
      <c r="AE106" s="936">
        <v>-27628.17</v>
      </c>
      <c r="AF106" s="1007">
        <f>7*15*40*12+5000</f>
        <v>55400</v>
      </c>
      <c r="AG106" s="937">
        <v>-35205</v>
      </c>
      <c r="AH106" s="1007">
        <f>7*15*40*12+5000+1*15*20*5</f>
        <v>56900</v>
      </c>
      <c r="AI106" s="1007">
        <f>7*15*40*12+5000+1*15*20*12</f>
        <v>59000</v>
      </c>
      <c r="AJ106" s="1051">
        <f>6*15*40*12</f>
        <v>43200</v>
      </c>
      <c r="AK106" s="1039" t="s">
        <v>528</v>
      </c>
      <c r="AL106" s="1040"/>
      <c r="AM106" s="1041"/>
      <c r="AN106" s="1041"/>
      <c r="AO106" s="1042"/>
      <c r="AP106" s="1042"/>
      <c r="AQ106" s="901"/>
      <c r="AR106" s="901"/>
      <c r="AS106" s="901"/>
      <c r="AT106" s="901"/>
      <c r="AU106" s="901"/>
      <c r="AV106" s="901"/>
      <c r="AW106" s="901"/>
      <c r="AX106" s="901"/>
      <c r="AY106" s="901"/>
      <c r="AZ106" s="901"/>
      <c r="BA106" s="901"/>
      <c r="BB106" s="901"/>
      <c r="BC106" s="901"/>
      <c r="BD106" s="901"/>
      <c r="BE106" s="901"/>
      <c r="BF106" s="901"/>
      <c r="BG106" s="901"/>
      <c r="BH106" s="901"/>
      <c r="BI106" s="901"/>
      <c r="BJ106" s="901"/>
      <c r="BK106" s="901"/>
      <c r="BL106" s="901"/>
      <c r="BM106" s="901"/>
      <c r="BN106" s="901"/>
      <c r="BO106" s="901"/>
      <c r="BP106" s="901"/>
      <c r="BQ106" s="901"/>
      <c r="BR106" s="901"/>
      <c r="BS106" s="901"/>
      <c r="BT106" s="901"/>
      <c r="BU106" s="901"/>
      <c r="BV106" s="901"/>
      <c r="BW106" s="901"/>
      <c r="BX106" s="901"/>
      <c r="BY106" s="901"/>
      <c r="BZ106" s="901"/>
      <c r="CA106" s="901"/>
      <c r="CB106" s="901"/>
      <c r="CC106" s="901"/>
      <c r="CD106" s="901"/>
      <c r="CE106" s="901"/>
      <c r="CF106" s="901"/>
      <c r="CG106" s="901"/>
      <c r="CH106" s="901"/>
      <c r="CI106" s="901"/>
      <c r="CJ106" s="901"/>
      <c r="CK106" s="901"/>
      <c r="CL106" s="901"/>
      <c r="CM106" s="901"/>
      <c r="CN106" s="901"/>
      <c r="CO106" s="901"/>
      <c r="CP106" s="901"/>
      <c r="CQ106" s="901"/>
      <c r="CR106" s="901"/>
      <c r="CS106" s="901"/>
      <c r="CT106" s="901"/>
      <c r="CU106" s="901"/>
      <c r="CV106" s="901"/>
      <c r="CW106" s="901"/>
      <c r="CX106" s="901"/>
      <c r="CY106" s="901"/>
      <c r="CZ106" s="901"/>
      <c r="DA106" s="901"/>
      <c r="DB106" s="901"/>
      <c r="DC106" s="901"/>
      <c r="DD106" s="901"/>
      <c r="DE106" s="901"/>
      <c r="DF106" s="901"/>
      <c r="DG106" s="901"/>
      <c r="DH106" s="901"/>
      <c r="DI106" s="901"/>
      <c r="DJ106" s="901"/>
      <c r="DK106" s="901"/>
      <c r="DL106" s="901"/>
      <c r="DM106" s="901"/>
      <c r="DN106" s="901"/>
      <c r="DO106" s="901"/>
      <c r="DP106" s="901"/>
      <c r="DQ106" s="901"/>
      <c r="DR106" s="901"/>
      <c r="DS106" s="901"/>
      <c r="DT106" s="901"/>
      <c r="DU106" s="901"/>
      <c r="DV106" s="901"/>
      <c r="DW106" s="901"/>
      <c r="DX106" s="901"/>
      <c r="DY106" s="901"/>
      <c r="DZ106" s="901"/>
      <c r="EA106" s="901"/>
      <c r="EB106" s="901"/>
      <c r="EC106" s="901"/>
      <c r="ED106" s="901"/>
      <c r="EE106" s="901"/>
      <c r="EF106" s="901"/>
      <c r="EG106" s="901"/>
      <c r="EH106" s="901"/>
      <c r="EI106" s="901"/>
      <c r="EJ106" s="901"/>
      <c r="EK106" s="901"/>
      <c r="EL106" s="901"/>
      <c r="EM106" s="901"/>
      <c r="EN106" s="901"/>
      <c r="EO106" s="901"/>
      <c r="EP106" s="901"/>
      <c r="EQ106" s="901"/>
      <c r="ER106" s="901"/>
      <c r="ES106" s="901"/>
      <c r="ET106" s="901"/>
      <c r="EU106" s="901"/>
      <c r="EV106" s="901"/>
      <c r="EW106" s="901"/>
      <c r="EX106" s="901"/>
      <c r="EY106" s="901"/>
      <c r="EZ106" s="901"/>
      <c r="FA106" s="901"/>
      <c r="FB106" s="901"/>
      <c r="FC106" s="901"/>
      <c r="FD106" s="901"/>
      <c r="FE106" s="901"/>
      <c r="FF106" s="901"/>
      <c r="FG106" s="901"/>
      <c r="FH106" s="901"/>
      <c r="FI106" s="901"/>
      <c r="FJ106" s="901"/>
      <c r="FK106" s="901"/>
      <c r="FL106" s="901"/>
      <c r="FM106" s="901"/>
      <c r="FN106" s="901"/>
      <c r="FO106" s="901"/>
      <c r="FP106" s="901"/>
      <c r="FQ106" s="901"/>
      <c r="FR106" s="901"/>
      <c r="FS106" s="901"/>
      <c r="FT106" s="901"/>
      <c r="FU106" s="901"/>
      <c r="FV106" s="901"/>
      <c r="FW106" s="901"/>
      <c r="FX106" s="901"/>
      <c r="FY106" s="901"/>
      <c r="FZ106" s="901"/>
      <c r="GA106" s="901"/>
      <c r="GB106" s="901"/>
      <c r="GC106" s="901"/>
      <c r="GD106" s="901"/>
      <c r="GE106" s="901"/>
      <c r="GF106" s="901"/>
      <c r="GG106" s="901"/>
      <c r="GH106" s="901"/>
      <c r="GI106" s="901"/>
      <c r="GJ106" s="901"/>
      <c r="GK106" s="901"/>
      <c r="GL106" s="901"/>
      <c r="GM106" s="901"/>
      <c r="GN106" s="901"/>
      <c r="GO106" s="901"/>
      <c r="GP106" s="901"/>
      <c r="GQ106" s="901"/>
      <c r="GR106" s="901"/>
      <c r="GS106" s="901"/>
      <c r="GT106" s="901"/>
      <c r="GU106" s="901"/>
      <c r="GV106" s="901"/>
      <c r="GW106" s="901"/>
      <c r="GX106" s="901"/>
      <c r="GY106" s="901"/>
      <c r="GZ106" s="901"/>
      <c r="HA106" s="901"/>
      <c r="HB106" s="901"/>
      <c r="HC106" s="901"/>
      <c r="HD106" s="901"/>
      <c r="HE106" s="901"/>
      <c r="HF106" s="901"/>
      <c r="HG106" s="901"/>
      <c r="HH106" s="901"/>
      <c r="HI106" s="901"/>
      <c r="HJ106" s="901"/>
      <c r="HK106" s="901"/>
      <c r="HL106" s="901"/>
      <c r="HM106" s="901"/>
      <c r="HN106" s="901"/>
      <c r="HO106" s="901"/>
      <c r="HP106" s="901"/>
      <c r="HQ106" s="901"/>
      <c r="HR106" s="901"/>
      <c r="HS106" s="901"/>
      <c r="HT106" s="901"/>
      <c r="HU106" s="901"/>
      <c r="HV106" s="901"/>
      <c r="HW106" s="901"/>
      <c r="HX106" s="901"/>
      <c r="HY106" s="901"/>
      <c r="HZ106" s="901"/>
      <c r="IA106" s="901"/>
      <c r="IB106" s="901"/>
      <c r="IC106" s="901"/>
      <c r="ID106" s="901"/>
      <c r="IE106" s="901"/>
      <c r="IF106" s="901"/>
      <c r="IG106" s="901"/>
      <c r="IH106" s="901"/>
      <c r="II106" s="901"/>
      <c r="IJ106" s="901"/>
      <c r="IK106" s="901"/>
      <c r="IL106" s="901"/>
      <c r="IM106" s="901"/>
      <c r="IN106" s="901"/>
      <c r="IO106" s="901"/>
      <c r="IP106" s="901"/>
      <c r="IQ106" s="901"/>
      <c r="IR106" s="901"/>
      <c r="IS106" s="901"/>
      <c r="IT106" s="901"/>
      <c r="IU106" s="901"/>
      <c r="IV106" s="901"/>
      <c r="IW106" s="901"/>
      <c r="IX106" s="901"/>
      <c r="IY106" s="901"/>
      <c r="IZ106" s="901"/>
      <c r="JA106" s="901"/>
      <c r="JB106" s="901"/>
      <c r="JC106" s="901"/>
      <c r="JD106" s="901"/>
      <c r="JE106" s="901"/>
      <c r="JF106" s="901"/>
      <c r="JG106" s="901"/>
      <c r="JH106" s="901"/>
      <c r="JI106" s="901"/>
      <c r="JJ106" s="901"/>
      <c r="JK106" s="901"/>
      <c r="JL106" s="901"/>
      <c r="JM106" s="901"/>
      <c r="JN106" s="901"/>
      <c r="JO106" s="901"/>
      <c r="JP106" s="901"/>
      <c r="JQ106" s="901"/>
      <c r="JR106" s="901"/>
      <c r="JS106" s="901"/>
      <c r="JT106" s="901"/>
      <c r="JU106" s="901"/>
      <c r="JV106" s="901"/>
      <c r="JW106" s="901"/>
      <c r="JX106" s="901"/>
      <c r="JY106" s="901"/>
      <c r="JZ106" s="901"/>
      <c r="KA106" s="901"/>
      <c r="KB106" s="901"/>
      <c r="KC106" s="901"/>
      <c r="KD106" s="901"/>
      <c r="KE106" s="901"/>
      <c r="KF106" s="901"/>
      <c r="KG106" s="901"/>
      <c r="KH106" s="901"/>
      <c r="KI106" s="901"/>
      <c r="KJ106" s="901"/>
      <c r="KK106" s="901"/>
      <c r="KL106" s="901"/>
      <c r="KM106" s="901"/>
      <c r="KN106" s="901"/>
      <c r="KO106" s="901"/>
      <c r="KP106" s="901"/>
      <c r="KQ106" s="901"/>
      <c r="KR106" s="901"/>
      <c r="KS106" s="901"/>
      <c r="KT106" s="901"/>
      <c r="KU106" s="901"/>
      <c r="KV106" s="901"/>
      <c r="KW106" s="901"/>
      <c r="KX106" s="901"/>
      <c r="KY106" s="901"/>
      <c r="KZ106" s="901"/>
      <c r="LA106" s="901"/>
      <c r="LB106" s="901"/>
      <c r="LC106" s="901"/>
      <c r="LD106" s="901"/>
      <c r="LE106" s="901"/>
      <c r="LF106" s="901"/>
      <c r="LG106" s="901"/>
      <c r="LH106" s="901"/>
      <c r="LI106" s="901"/>
      <c r="LJ106" s="901"/>
      <c r="LK106" s="901"/>
      <c r="LL106" s="901"/>
      <c r="LM106" s="901"/>
      <c r="LN106" s="901"/>
      <c r="LO106" s="901"/>
      <c r="LP106" s="901"/>
      <c r="LQ106" s="901"/>
      <c r="LR106" s="901"/>
      <c r="LS106" s="901"/>
      <c r="LT106" s="901"/>
      <c r="LU106" s="901"/>
      <c r="LV106" s="901"/>
      <c r="LW106" s="901"/>
      <c r="LX106" s="901"/>
      <c r="LY106" s="901"/>
      <c r="LZ106" s="901"/>
      <c r="MA106" s="901"/>
      <c r="MB106" s="901"/>
      <c r="MC106" s="901"/>
      <c r="MD106" s="901"/>
      <c r="ME106" s="901"/>
      <c r="MF106" s="901"/>
      <c r="MG106" s="901"/>
      <c r="MH106" s="901"/>
      <c r="MI106" s="901"/>
      <c r="MJ106" s="901"/>
      <c r="MK106" s="901"/>
      <c r="ML106" s="901"/>
      <c r="MM106" s="901"/>
      <c r="MN106" s="901"/>
      <c r="MO106" s="901"/>
      <c r="MP106" s="901"/>
      <c r="MQ106" s="901"/>
      <c r="MR106" s="901"/>
      <c r="MS106" s="901"/>
      <c r="MT106" s="901"/>
      <c r="MU106" s="901"/>
      <c r="MV106" s="901"/>
      <c r="MW106" s="901"/>
      <c r="MX106" s="901"/>
      <c r="MY106" s="901"/>
      <c r="MZ106" s="901"/>
      <c r="NA106" s="901"/>
      <c r="NB106" s="901"/>
      <c r="NC106" s="901"/>
      <c r="ND106" s="901"/>
      <c r="NE106" s="901"/>
      <c r="NF106" s="901"/>
      <c r="NG106" s="901"/>
      <c r="NH106" s="901"/>
      <c r="NI106" s="901"/>
      <c r="NJ106" s="901"/>
      <c r="NK106" s="901"/>
      <c r="NL106" s="901"/>
      <c r="NM106" s="901"/>
      <c r="NN106" s="901"/>
      <c r="NO106" s="901"/>
      <c r="NP106" s="901"/>
      <c r="NQ106" s="901"/>
      <c r="NR106" s="901"/>
      <c r="NS106" s="901"/>
      <c r="NT106" s="901"/>
      <c r="NU106" s="901"/>
      <c r="NV106" s="901"/>
      <c r="NW106" s="901"/>
      <c r="NX106" s="901"/>
      <c r="NY106" s="901"/>
      <c r="NZ106" s="901"/>
      <c r="OA106" s="901"/>
      <c r="OB106" s="901"/>
      <c r="OC106" s="901"/>
      <c r="OD106" s="901"/>
      <c r="OE106" s="901"/>
      <c r="OF106" s="901"/>
      <c r="OG106" s="901"/>
      <c r="OH106" s="901"/>
      <c r="OI106" s="901"/>
      <c r="OJ106" s="901"/>
      <c r="OK106" s="901"/>
      <c r="OL106" s="901"/>
      <c r="OM106" s="901"/>
      <c r="ON106" s="901"/>
      <c r="OO106" s="901"/>
      <c r="OP106" s="901"/>
      <c r="OQ106" s="901"/>
      <c r="OR106" s="901"/>
      <c r="OS106" s="901"/>
      <c r="OT106" s="901"/>
      <c r="OU106" s="901"/>
      <c r="OV106" s="901"/>
      <c r="OW106" s="901"/>
      <c r="OX106" s="901"/>
      <c r="OY106" s="901"/>
      <c r="OZ106" s="901"/>
      <c r="PA106" s="901"/>
      <c r="PB106" s="901"/>
      <c r="PC106" s="901"/>
      <c r="PD106" s="901"/>
      <c r="PE106" s="901"/>
      <c r="PF106" s="901"/>
      <c r="PG106" s="901"/>
      <c r="PH106" s="901"/>
      <c r="PI106" s="901"/>
      <c r="PJ106" s="901"/>
      <c r="PK106" s="901"/>
      <c r="PL106" s="901"/>
      <c r="PM106" s="901"/>
      <c r="PN106" s="901"/>
      <c r="PO106" s="901"/>
      <c r="PP106" s="901"/>
      <c r="PQ106" s="901"/>
      <c r="PR106" s="901"/>
      <c r="PS106" s="901"/>
      <c r="PT106" s="901"/>
      <c r="PU106" s="901"/>
      <c r="PV106" s="901"/>
      <c r="PW106" s="901"/>
      <c r="PX106" s="901"/>
      <c r="PY106" s="901"/>
      <c r="PZ106" s="901"/>
      <c r="QA106" s="901"/>
      <c r="QB106" s="901"/>
      <c r="QC106" s="901"/>
      <c r="QD106" s="901"/>
      <c r="QE106" s="901"/>
      <c r="QF106" s="901"/>
      <c r="QG106" s="901"/>
      <c r="QH106" s="901"/>
      <c r="QI106" s="901"/>
      <c r="QJ106" s="901"/>
      <c r="QK106" s="901"/>
      <c r="QL106" s="901"/>
      <c r="QM106" s="901"/>
      <c r="QN106" s="901"/>
      <c r="QO106" s="901"/>
      <c r="QP106" s="901"/>
      <c r="QQ106" s="901"/>
      <c r="QR106" s="901"/>
      <c r="QS106" s="901"/>
      <c r="QT106" s="901"/>
      <c r="QU106" s="901"/>
      <c r="QV106" s="901"/>
      <c r="QW106" s="901"/>
      <c r="QX106" s="901"/>
      <c r="QY106" s="901"/>
      <c r="QZ106" s="901"/>
      <c r="RA106" s="901"/>
      <c r="RB106" s="901"/>
      <c r="RC106" s="901"/>
      <c r="RD106" s="901"/>
      <c r="RE106" s="901"/>
      <c r="RF106" s="901"/>
      <c r="RG106" s="901"/>
      <c r="RH106" s="901"/>
      <c r="RI106" s="901"/>
      <c r="RJ106" s="901"/>
      <c r="RK106" s="901"/>
      <c r="RL106" s="901"/>
      <c r="RM106" s="901"/>
      <c r="RN106" s="901"/>
      <c r="RO106" s="901"/>
      <c r="RP106" s="901"/>
      <c r="RQ106" s="901"/>
      <c r="RR106" s="901"/>
      <c r="RS106" s="901"/>
      <c r="RT106" s="901"/>
      <c r="RU106" s="901"/>
      <c r="RV106" s="901"/>
      <c r="RW106" s="901"/>
      <c r="RX106" s="901"/>
      <c r="RY106" s="901"/>
      <c r="RZ106" s="901"/>
      <c r="SA106" s="901"/>
      <c r="SB106" s="901"/>
      <c r="SC106" s="901"/>
      <c r="SD106" s="901"/>
      <c r="SE106" s="901"/>
      <c r="SF106" s="901"/>
      <c r="SG106" s="901"/>
      <c r="SH106" s="901"/>
      <c r="SI106" s="901"/>
      <c r="SJ106" s="901"/>
      <c r="SK106" s="901"/>
      <c r="SL106" s="901"/>
      <c r="SM106" s="901"/>
      <c r="SN106" s="901"/>
      <c r="SO106" s="901"/>
      <c r="SP106" s="901"/>
      <c r="SQ106" s="901"/>
      <c r="SR106" s="901"/>
      <c r="SS106" s="901"/>
      <c r="ST106" s="901"/>
      <c r="SU106" s="901"/>
      <c r="SV106" s="901"/>
      <c r="SW106" s="901"/>
      <c r="SX106" s="901"/>
      <c r="SY106" s="901"/>
      <c r="SZ106" s="901"/>
      <c r="TA106" s="901"/>
      <c r="TB106" s="901"/>
      <c r="TC106" s="901"/>
      <c r="TD106" s="901"/>
      <c r="TE106" s="901"/>
      <c r="TF106" s="901"/>
      <c r="TG106" s="901"/>
      <c r="TH106" s="901"/>
      <c r="TI106" s="901"/>
      <c r="TJ106" s="901"/>
      <c r="TK106" s="901"/>
      <c r="TL106" s="901"/>
      <c r="TM106" s="901"/>
      <c r="TN106" s="901"/>
      <c r="TO106" s="901"/>
      <c r="TP106" s="901"/>
      <c r="TQ106" s="901"/>
      <c r="TR106" s="901"/>
      <c r="TS106" s="901"/>
      <c r="TT106" s="901"/>
      <c r="TU106" s="901"/>
      <c r="TV106" s="901"/>
      <c r="TW106" s="901"/>
      <c r="TX106" s="901"/>
      <c r="TY106" s="901"/>
      <c r="TZ106" s="901"/>
      <c r="UA106" s="901"/>
      <c r="UB106" s="901"/>
      <c r="UC106" s="901"/>
      <c r="UD106" s="901"/>
      <c r="UE106" s="901"/>
      <c r="UF106" s="901"/>
      <c r="UG106" s="901"/>
      <c r="UH106" s="901"/>
      <c r="UI106" s="901"/>
      <c r="UJ106" s="901"/>
      <c r="UK106" s="901"/>
      <c r="UL106" s="901"/>
      <c r="UM106" s="901"/>
      <c r="UN106" s="901"/>
      <c r="UO106" s="901"/>
      <c r="UP106" s="901"/>
      <c r="UQ106" s="901"/>
      <c r="UR106" s="901"/>
      <c r="US106" s="901"/>
      <c r="UT106" s="901"/>
      <c r="UU106" s="901"/>
      <c r="UV106" s="901"/>
      <c r="UW106" s="901"/>
      <c r="UX106" s="901"/>
      <c r="UY106" s="901"/>
      <c r="UZ106" s="901"/>
      <c r="VA106" s="901"/>
      <c r="VB106" s="901"/>
      <c r="VC106" s="901"/>
      <c r="VD106" s="901"/>
      <c r="VE106" s="901"/>
      <c r="VF106" s="901"/>
      <c r="VG106" s="901"/>
      <c r="VH106" s="901"/>
      <c r="VI106" s="901"/>
      <c r="VJ106" s="901"/>
      <c r="VK106" s="901"/>
      <c r="VL106" s="901"/>
      <c r="VM106" s="901"/>
      <c r="VN106" s="901"/>
      <c r="VO106" s="901"/>
      <c r="VP106" s="901"/>
      <c r="VQ106" s="901"/>
      <c r="VR106" s="901"/>
      <c r="VS106" s="901"/>
      <c r="VT106" s="901"/>
      <c r="VU106" s="901"/>
      <c r="VV106" s="901"/>
      <c r="VW106" s="901"/>
      <c r="VX106" s="901"/>
      <c r="VY106" s="901"/>
      <c r="VZ106" s="901"/>
      <c r="WA106" s="901"/>
      <c r="WB106" s="901"/>
      <c r="WC106" s="901"/>
      <c r="WD106" s="901"/>
      <c r="WE106" s="901"/>
      <c r="WF106" s="901"/>
      <c r="WG106" s="901"/>
      <c r="WH106" s="901"/>
      <c r="WI106" s="901"/>
      <c r="WJ106" s="901"/>
      <c r="WK106" s="901"/>
      <c r="WL106" s="901"/>
      <c r="WM106" s="901"/>
      <c r="WN106" s="901"/>
      <c r="WO106" s="901"/>
      <c r="WP106" s="901"/>
      <c r="WQ106" s="901"/>
      <c r="WR106" s="901"/>
      <c r="WS106" s="901"/>
      <c r="WT106" s="901"/>
      <c r="WU106" s="901"/>
      <c r="WV106" s="901"/>
      <c r="WW106" s="901"/>
      <c r="WX106" s="901"/>
      <c r="WY106" s="901"/>
      <c r="WZ106" s="901"/>
      <c r="XA106" s="901"/>
      <c r="XB106" s="901"/>
      <c r="XC106" s="901"/>
      <c r="XD106" s="901"/>
      <c r="XE106" s="901"/>
      <c r="XF106" s="901"/>
      <c r="XG106" s="901"/>
      <c r="XH106" s="901"/>
      <c r="XI106" s="901"/>
      <c r="XJ106" s="901"/>
      <c r="XK106" s="901"/>
      <c r="XL106" s="901"/>
      <c r="XM106" s="901"/>
      <c r="XN106" s="901"/>
      <c r="XO106" s="901"/>
      <c r="XP106" s="901"/>
      <c r="XQ106" s="901"/>
      <c r="XR106" s="901"/>
      <c r="XS106" s="901"/>
      <c r="XT106" s="901"/>
      <c r="XU106" s="901"/>
      <c r="XV106" s="901"/>
      <c r="XW106" s="901"/>
      <c r="XX106" s="901"/>
      <c r="XY106" s="901"/>
      <c r="XZ106" s="901"/>
      <c r="YA106" s="901"/>
      <c r="YB106" s="901"/>
      <c r="YC106" s="901"/>
      <c r="YD106" s="901"/>
      <c r="YE106" s="901"/>
      <c r="YF106" s="901"/>
      <c r="YG106" s="901"/>
      <c r="YH106" s="901"/>
      <c r="YI106" s="901"/>
      <c r="YJ106" s="901"/>
      <c r="YK106" s="901"/>
      <c r="YL106" s="901"/>
      <c r="YM106" s="901"/>
      <c r="YN106" s="901"/>
      <c r="YO106" s="901"/>
      <c r="YP106" s="901"/>
      <c r="YQ106" s="901"/>
      <c r="YR106" s="901"/>
      <c r="YS106" s="901"/>
      <c r="YT106" s="901"/>
      <c r="YU106" s="901"/>
      <c r="YV106" s="901"/>
      <c r="YW106" s="901"/>
      <c r="YX106" s="901"/>
      <c r="YY106" s="901"/>
      <c r="YZ106" s="901"/>
      <c r="ZA106" s="901"/>
      <c r="ZB106" s="901"/>
      <c r="ZC106" s="901"/>
      <c r="ZD106" s="901"/>
      <c r="ZE106" s="901"/>
      <c r="ZF106" s="901"/>
      <c r="ZG106" s="901"/>
      <c r="ZH106" s="901"/>
      <c r="ZI106" s="901"/>
      <c r="ZJ106" s="901"/>
      <c r="ZK106" s="901"/>
      <c r="ZL106" s="901"/>
      <c r="ZM106" s="901"/>
      <c r="ZN106" s="901"/>
      <c r="ZO106" s="901"/>
      <c r="ZP106" s="901"/>
      <c r="ZQ106" s="901"/>
      <c r="ZR106" s="901"/>
      <c r="ZS106" s="901"/>
      <c r="ZT106" s="901"/>
      <c r="ZU106" s="901"/>
      <c r="ZV106" s="901"/>
      <c r="ZW106" s="901"/>
      <c r="ZX106" s="901"/>
      <c r="ZY106" s="901"/>
      <c r="ZZ106" s="901"/>
      <c r="AAA106" s="901"/>
      <c r="AAB106" s="901"/>
      <c r="AAC106" s="901"/>
      <c r="AAD106" s="901"/>
      <c r="AAE106" s="901"/>
      <c r="AAF106" s="901"/>
      <c r="AAG106" s="901"/>
      <c r="AAH106" s="901"/>
      <c r="AAI106" s="901"/>
      <c r="AAJ106" s="901"/>
      <c r="AAK106" s="901"/>
      <c r="AAL106" s="901"/>
      <c r="AAM106" s="901"/>
      <c r="AAN106" s="901"/>
      <c r="AAO106" s="901"/>
      <c r="AAP106" s="901"/>
      <c r="AAQ106" s="901"/>
      <c r="AAR106" s="901"/>
      <c r="AAS106" s="901"/>
      <c r="AAT106" s="901"/>
      <c r="AAU106" s="901"/>
      <c r="AAV106" s="901"/>
      <c r="AAW106" s="901"/>
      <c r="AAX106" s="901"/>
      <c r="AAY106" s="901"/>
      <c r="AAZ106" s="901"/>
      <c r="ABA106" s="901"/>
      <c r="ABB106" s="901"/>
      <c r="ABC106" s="901"/>
      <c r="ABD106" s="901"/>
      <c r="ABE106" s="901"/>
      <c r="ABF106" s="901"/>
      <c r="ABG106" s="901"/>
      <c r="ABH106" s="901"/>
      <c r="ABI106" s="901"/>
      <c r="ABJ106" s="901"/>
      <c r="ABK106" s="901"/>
      <c r="ABL106" s="901"/>
      <c r="ABM106" s="901"/>
      <c r="ABN106" s="901"/>
      <c r="ABO106" s="901"/>
      <c r="ABP106" s="901"/>
      <c r="ABQ106" s="901"/>
      <c r="ABR106" s="901"/>
      <c r="ABS106" s="901"/>
      <c r="ABT106" s="901"/>
      <c r="ABU106" s="901"/>
      <c r="ABV106" s="901"/>
      <c r="ABW106" s="901"/>
      <c r="ABX106" s="901"/>
      <c r="ABY106" s="901"/>
      <c r="ABZ106" s="901"/>
      <c r="ACA106" s="901"/>
      <c r="ACB106" s="901"/>
      <c r="ACC106" s="901"/>
      <c r="ACD106" s="901"/>
      <c r="ACE106" s="901"/>
      <c r="ACF106" s="901"/>
      <c r="ACG106" s="901"/>
      <c r="ACH106" s="901"/>
      <c r="ACI106" s="901"/>
      <c r="ACJ106" s="901"/>
      <c r="ACK106" s="901"/>
      <c r="ACL106" s="901"/>
      <c r="ACM106" s="901"/>
      <c r="ACN106" s="901"/>
      <c r="ACO106" s="901"/>
      <c r="ACP106" s="901"/>
      <c r="ACQ106" s="901"/>
      <c r="ACR106" s="901"/>
      <c r="ACS106" s="901"/>
      <c r="ACT106" s="901"/>
      <c r="ACU106" s="901"/>
      <c r="ACV106" s="901"/>
      <c r="ACW106" s="901"/>
      <c r="ACX106" s="901"/>
      <c r="ACY106" s="901"/>
      <c r="ACZ106" s="901"/>
      <c r="ADA106" s="901"/>
      <c r="ADB106" s="901"/>
      <c r="ADC106" s="901"/>
      <c r="ADD106" s="901"/>
      <c r="ADE106" s="901"/>
      <c r="ADF106" s="901"/>
      <c r="ADG106" s="901"/>
      <c r="ADH106" s="901"/>
      <c r="ADI106" s="901"/>
      <c r="ADJ106" s="901"/>
      <c r="ADK106" s="901"/>
      <c r="ADL106" s="901"/>
      <c r="ADM106" s="901"/>
      <c r="ADN106" s="901"/>
      <c r="ADO106" s="901"/>
      <c r="ADP106" s="901"/>
      <c r="ADQ106" s="901"/>
      <c r="ADR106" s="901"/>
      <c r="ADS106" s="901"/>
      <c r="ADT106" s="901"/>
      <c r="ADU106" s="901"/>
      <c r="ADV106" s="901"/>
      <c r="ADW106" s="901"/>
      <c r="ADX106" s="901"/>
      <c r="ADY106" s="901"/>
      <c r="ADZ106" s="901"/>
      <c r="AEA106" s="901"/>
      <c r="AEB106" s="901"/>
      <c r="AEC106" s="901"/>
      <c r="AED106" s="901"/>
      <c r="AEE106" s="901"/>
      <c r="AEF106" s="901"/>
      <c r="AEG106" s="901"/>
      <c r="AEH106" s="901"/>
      <c r="AEI106" s="901"/>
      <c r="AEJ106" s="901"/>
      <c r="AEK106" s="901"/>
      <c r="AEL106" s="901"/>
      <c r="AEM106" s="901"/>
      <c r="AEN106" s="901"/>
      <c r="AEO106" s="901"/>
      <c r="AEP106" s="901"/>
      <c r="AEQ106" s="901"/>
      <c r="AER106" s="901"/>
      <c r="AES106" s="901"/>
      <c r="AET106" s="901"/>
      <c r="AEU106" s="901"/>
      <c r="AEV106" s="901"/>
      <c r="AEW106" s="901"/>
      <c r="AEX106" s="901"/>
      <c r="AEY106" s="901"/>
      <c r="AEZ106" s="901"/>
      <c r="AFA106" s="901"/>
      <c r="AFB106" s="901"/>
      <c r="AFC106" s="901"/>
      <c r="AFD106" s="901"/>
      <c r="AFE106" s="901"/>
      <c r="AFF106" s="901"/>
      <c r="AFG106" s="901"/>
      <c r="AFH106" s="901"/>
      <c r="AFI106" s="901"/>
      <c r="AFJ106" s="901"/>
      <c r="AFK106" s="901"/>
      <c r="AFL106" s="901"/>
      <c r="AFM106" s="901"/>
      <c r="AFN106" s="901"/>
      <c r="AFO106" s="901"/>
      <c r="AFP106" s="901"/>
      <c r="AFQ106" s="901"/>
      <c r="AFR106" s="901"/>
      <c r="AFS106" s="901"/>
      <c r="AFT106" s="901"/>
      <c r="AFU106" s="901"/>
      <c r="AFV106" s="901"/>
      <c r="AFW106" s="901"/>
      <c r="AFX106" s="901"/>
      <c r="AFY106" s="901"/>
      <c r="AFZ106" s="901"/>
      <c r="AGA106" s="901"/>
      <c r="AGB106" s="901"/>
      <c r="AGC106" s="901"/>
      <c r="AGD106" s="901"/>
      <c r="AGE106" s="901"/>
      <c r="AGF106" s="901"/>
      <c r="AGG106" s="901"/>
      <c r="AGH106" s="901"/>
      <c r="AGI106" s="901"/>
      <c r="AGJ106" s="901"/>
      <c r="AGK106" s="901"/>
      <c r="AGL106" s="901"/>
      <c r="AGM106" s="901"/>
      <c r="AGN106" s="901"/>
      <c r="AGO106" s="901"/>
      <c r="AGP106" s="901"/>
      <c r="AGQ106" s="901"/>
      <c r="AGR106" s="901"/>
      <c r="AGS106" s="901"/>
      <c r="AGT106" s="901"/>
      <c r="AGU106" s="901"/>
      <c r="AGV106" s="901"/>
      <c r="AGW106" s="901"/>
      <c r="AGX106" s="901"/>
      <c r="AGY106" s="901"/>
      <c r="AGZ106" s="901"/>
      <c r="AHA106" s="901"/>
      <c r="AHB106" s="901"/>
      <c r="AHC106" s="901"/>
      <c r="AHD106" s="901"/>
      <c r="AHE106" s="901"/>
      <c r="AHF106" s="901"/>
      <c r="AHG106" s="901"/>
      <c r="AHH106" s="901"/>
      <c r="AHI106" s="901"/>
      <c r="AHJ106" s="901"/>
      <c r="AHK106" s="901"/>
      <c r="AHL106" s="901"/>
      <c r="AHM106" s="901"/>
      <c r="AHN106" s="901"/>
      <c r="AHO106" s="901"/>
      <c r="AHP106" s="901"/>
      <c r="AHQ106" s="901"/>
      <c r="AHR106" s="901"/>
      <c r="AHS106" s="901"/>
      <c r="AHT106" s="901"/>
      <c r="AHU106" s="901"/>
      <c r="AHV106" s="901"/>
      <c r="AHW106" s="901"/>
      <c r="AHX106" s="901"/>
      <c r="AHY106" s="901"/>
      <c r="AHZ106" s="901"/>
      <c r="AIA106" s="901"/>
      <c r="AIB106" s="901"/>
      <c r="AIC106" s="901"/>
      <c r="AID106" s="901"/>
      <c r="AIE106" s="901"/>
      <c r="AIF106" s="901"/>
      <c r="AIG106" s="901"/>
      <c r="AIH106" s="901"/>
      <c r="AII106" s="901"/>
      <c r="AIJ106" s="901"/>
      <c r="AIK106" s="901"/>
      <c r="AIL106" s="901"/>
      <c r="AIM106" s="901"/>
      <c r="AIN106" s="901"/>
      <c r="AIO106" s="901"/>
      <c r="AIP106" s="901"/>
      <c r="AIQ106" s="901"/>
      <c r="AIR106" s="901"/>
      <c r="AIS106" s="901"/>
      <c r="AIT106" s="901"/>
      <c r="AIU106" s="901"/>
      <c r="AIV106" s="901"/>
      <c r="AIW106" s="901"/>
      <c r="AIX106" s="901"/>
      <c r="AIY106" s="901"/>
      <c r="AIZ106" s="901"/>
      <c r="AJA106" s="901"/>
      <c r="AJB106" s="901"/>
      <c r="AJC106" s="901"/>
      <c r="AJD106" s="901"/>
      <c r="AJE106" s="901"/>
      <c r="AJF106" s="901"/>
      <c r="AJG106" s="901"/>
      <c r="AJH106" s="901"/>
      <c r="AJI106" s="901"/>
      <c r="AJJ106" s="901"/>
      <c r="AJK106" s="901"/>
      <c r="AJL106" s="901"/>
      <c r="AJM106" s="901"/>
      <c r="AJN106" s="901"/>
      <c r="AJO106" s="901"/>
      <c r="AJP106" s="901"/>
      <c r="AJQ106" s="901"/>
      <c r="AJR106" s="901"/>
      <c r="AJS106" s="901"/>
      <c r="AJT106" s="901"/>
      <c r="AJU106" s="901"/>
      <c r="AJV106" s="901"/>
      <c r="AJW106" s="901"/>
      <c r="AJX106" s="901"/>
      <c r="AJY106" s="901"/>
      <c r="AJZ106" s="901"/>
      <c r="AKA106" s="901"/>
      <c r="AKB106" s="901"/>
      <c r="AKC106" s="901"/>
      <c r="AKD106" s="901"/>
      <c r="AKE106" s="901"/>
      <c r="AKF106" s="901"/>
      <c r="AKG106" s="901"/>
      <c r="AKH106" s="901"/>
      <c r="AKI106" s="901"/>
      <c r="AKJ106" s="901"/>
      <c r="AKK106" s="901"/>
      <c r="AKL106" s="901"/>
      <c r="AKM106" s="901"/>
      <c r="AKN106" s="901"/>
      <c r="AKO106" s="901"/>
      <c r="AKP106" s="901"/>
      <c r="AKQ106" s="901"/>
      <c r="AKR106" s="901"/>
      <c r="AKS106" s="901"/>
      <c r="AKT106" s="901"/>
      <c r="AKU106" s="901"/>
      <c r="AKV106" s="901"/>
      <c r="AKW106" s="901"/>
      <c r="AKX106" s="901"/>
      <c r="AKY106" s="901"/>
      <c r="AKZ106" s="901"/>
      <c r="ALA106" s="901"/>
      <c r="ALB106" s="901"/>
      <c r="ALC106" s="901"/>
      <c r="ALD106" s="901"/>
      <c r="ALE106" s="901"/>
      <c r="ALF106" s="901"/>
      <c r="ALG106" s="901"/>
      <c r="ALH106" s="901"/>
      <c r="ALI106" s="901"/>
      <c r="ALJ106" s="901"/>
      <c r="ALK106" s="901"/>
      <c r="ALL106" s="901"/>
      <c r="ALM106" s="901"/>
      <c r="ALN106" s="901"/>
      <c r="ALO106" s="901"/>
      <c r="ALP106" s="901"/>
      <c r="ALQ106" s="901"/>
      <c r="ALR106" s="901"/>
      <c r="ALS106" s="901"/>
      <c r="ALT106" s="901"/>
      <c r="ALU106" s="901"/>
      <c r="ALV106" s="901"/>
      <c r="ALW106" s="901"/>
      <c r="ALX106" s="901"/>
      <c r="ALY106" s="901"/>
      <c r="ALZ106" s="901"/>
      <c r="AMA106" s="901"/>
      <c r="AMB106" s="901"/>
      <c r="AMC106" s="901"/>
      <c r="AMD106" s="901"/>
      <c r="AME106" s="901"/>
      <c r="AMF106" s="901"/>
      <c r="AMG106" s="901"/>
      <c r="AMH106" s="901"/>
      <c r="AMI106" s="901"/>
      <c r="AMJ106" s="901"/>
      <c r="AMK106" s="901"/>
      <c r="AML106" s="901"/>
    </row>
    <row r="107" spans="1:1026">
      <c r="A107" s="144"/>
      <c r="B107" s="680"/>
      <c r="C107" s="680"/>
      <c r="D107" s="680"/>
      <c r="E107" s="676"/>
      <c r="F107" s="680"/>
      <c r="G107" s="145"/>
      <c r="H107" s="146" t="s">
        <v>144</v>
      </c>
      <c r="I107" s="147">
        <f t="shared" ref="I107:P107" si="42">SUM(I104:I106)</f>
        <v>1250</v>
      </c>
      <c r="J107" s="148">
        <f t="shared" si="42"/>
        <v>350.53</v>
      </c>
      <c r="K107" s="147">
        <f t="shared" si="42"/>
        <v>18900</v>
      </c>
      <c r="L107" s="148">
        <f t="shared" si="42"/>
        <v>9900</v>
      </c>
      <c r="M107" s="147">
        <f t="shared" si="42"/>
        <v>18900</v>
      </c>
      <c r="N107" s="148">
        <f t="shared" si="42"/>
        <v>14093.52</v>
      </c>
      <c r="O107" s="149">
        <f t="shared" si="42"/>
        <v>18900</v>
      </c>
      <c r="P107" s="150">
        <f t="shared" si="42"/>
        <v>10062.9</v>
      </c>
      <c r="Q107" s="149">
        <v>21000</v>
      </c>
      <c r="R107" s="150">
        <f>SUM(R104:R106)</f>
        <v>15207.23</v>
      </c>
      <c r="S107" s="151">
        <f>SUM(S104:S106)</f>
        <v>31860</v>
      </c>
      <c r="T107" s="151">
        <f>SUM(T104:T106)</f>
        <v>31860</v>
      </c>
      <c r="U107" s="151">
        <v>-14577.78</v>
      </c>
      <c r="V107" s="151">
        <f>SUM(V104:V106)</f>
        <v>17340</v>
      </c>
      <c r="W107" s="152">
        <v>-20338.53</v>
      </c>
      <c r="X107" s="153">
        <f>SUM(X104:X106)</f>
        <v>26920</v>
      </c>
      <c r="Y107" s="190">
        <v>-9729.7000000000007</v>
      </c>
      <c r="Z107" s="153">
        <f>SUM(Z104:Z106)</f>
        <v>28560</v>
      </c>
      <c r="AA107" s="153">
        <f>SUM(AA104:AA106)</f>
        <v>-26578.3</v>
      </c>
      <c r="AB107" s="153">
        <f>SUM(AB104:AB106)</f>
        <v>31840</v>
      </c>
      <c r="AC107" s="155">
        <v>-26578.3</v>
      </c>
      <c r="AD107" s="153">
        <f>SUM(AD104:AD106)</f>
        <v>31790</v>
      </c>
      <c r="AE107" s="153">
        <f t="shared" ref="AE107" si="43">SUM(AE104:AE106)</f>
        <v>-34941.03</v>
      </c>
      <c r="AF107" s="153">
        <f>SUM(AF104:AF106)</f>
        <v>67200</v>
      </c>
      <c r="AG107" s="153">
        <f t="shared" ref="AG107" si="44">SUM(AG104:AG106)</f>
        <v>-41095.629999999997</v>
      </c>
      <c r="AH107" s="153">
        <f>SUM(AH104:AH106)</f>
        <v>68700</v>
      </c>
      <c r="AI107" s="153">
        <f>SUM(AI104:AI106)</f>
        <v>70800</v>
      </c>
      <c r="AJ107" s="153">
        <f>SUM(AJ104:AJ106)</f>
        <v>54664</v>
      </c>
      <c r="AK107" s="702"/>
      <c r="AM107" s="106"/>
      <c r="AN107" s="106"/>
    </row>
    <row r="108" spans="1:1026">
      <c r="A108" s="80"/>
      <c r="B108" s="14"/>
      <c r="C108" s="14"/>
      <c r="D108" s="14"/>
      <c r="E108" s="15"/>
      <c r="F108" s="14"/>
      <c r="G108" s="81"/>
      <c r="H108" s="319"/>
      <c r="I108" s="320"/>
      <c r="J108" s="321"/>
      <c r="K108" s="320"/>
      <c r="L108" s="321"/>
      <c r="M108" s="320"/>
      <c r="N108" s="321"/>
      <c r="O108" s="322"/>
      <c r="P108" s="323"/>
      <c r="Q108" s="322"/>
      <c r="R108" s="323"/>
      <c r="S108" s="324"/>
      <c r="T108" s="324"/>
      <c r="U108" s="324"/>
      <c r="V108" s="324"/>
      <c r="W108" s="325"/>
      <c r="X108" s="326"/>
      <c r="Y108" s="116"/>
      <c r="Z108" s="117"/>
      <c r="AA108" s="118"/>
      <c r="AB108" s="117"/>
      <c r="AC108" s="118"/>
      <c r="AD108" s="117"/>
      <c r="AE108" s="118"/>
      <c r="AF108" s="117"/>
      <c r="AG108" s="745"/>
      <c r="AH108" s="117"/>
      <c r="AI108" s="117"/>
      <c r="AJ108" s="117"/>
      <c r="AK108" s="700"/>
      <c r="AM108" s="106"/>
      <c r="AN108" s="106"/>
    </row>
    <row r="109" spans="1:1026">
      <c r="A109" s="66">
        <v>5</v>
      </c>
      <c r="B109" s="67" t="s">
        <v>16</v>
      </c>
      <c r="C109" s="67">
        <v>1</v>
      </c>
      <c r="D109" s="67" t="s">
        <v>16</v>
      </c>
      <c r="E109" s="68" t="s">
        <v>145</v>
      </c>
      <c r="F109" s="67" t="s">
        <v>16</v>
      </c>
      <c r="G109" s="69" t="s">
        <v>70</v>
      </c>
      <c r="H109" s="238" t="s">
        <v>146</v>
      </c>
      <c r="I109" s="239"/>
      <c r="J109" s="240"/>
      <c r="K109" s="239"/>
      <c r="L109" s="240"/>
      <c r="M109" s="239"/>
      <c r="N109" s="240"/>
      <c r="O109" s="241"/>
      <c r="P109" s="242"/>
      <c r="Q109" s="241"/>
      <c r="R109" s="242"/>
      <c r="S109" s="243"/>
      <c r="T109" s="243"/>
      <c r="U109" s="243"/>
      <c r="V109" s="243"/>
      <c r="W109" s="244"/>
      <c r="X109" s="245"/>
      <c r="Y109" s="246"/>
      <c r="Z109" s="247"/>
      <c r="AA109" s="176"/>
      <c r="AB109" s="247"/>
      <c r="AC109" s="248"/>
      <c r="AD109" s="247"/>
      <c r="AE109" s="248"/>
      <c r="AF109" s="247"/>
      <c r="AG109" s="752"/>
      <c r="AH109" s="247"/>
      <c r="AI109" s="247"/>
      <c r="AJ109" s="247"/>
      <c r="AK109" s="710"/>
      <c r="AM109" s="106"/>
      <c r="AN109" s="106"/>
    </row>
    <row r="110" spans="1:1026">
      <c r="A110" s="80">
        <v>5</v>
      </c>
      <c r="B110" s="14" t="s">
        <v>16</v>
      </c>
      <c r="C110" s="14">
        <v>1</v>
      </c>
      <c r="D110" s="14" t="s">
        <v>16</v>
      </c>
      <c r="E110" s="15" t="s">
        <v>145</v>
      </c>
      <c r="F110" s="14" t="s">
        <v>16</v>
      </c>
      <c r="G110" s="81" t="s">
        <v>81</v>
      </c>
      <c r="H110" s="250" t="s">
        <v>108</v>
      </c>
      <c r="I110" s="83">
        <v>200</v>
      </c>
      <c r="J110" s="84">
        <v>169</v>
      </c>
      <c r="K110" s="83">
        <v>1500</v>
      </c>
      <c r="L110" s="212">
        <v>361.53</v>
      </c>
      <c r="M110" s="264">
        <v>500</v>
      </c>
      <c r="N110" s="299">
        <v>592.52</v>
      </c>
      <c r="O110" s="135">
        <v>0</v>
      </c>
      <c r="P110" s="300">
        <v>0</v>
      </c>
      <c r="Q110" s="135">
        <v>0</v>
      </c>
      <c r="R110" s="300">
        <v>0</v>
      </c>
      <c r="S110" s="327">
        <v>0</v>
      </c>
      <c r="T110" s="327">
        <v>0</v>
      </c>
      <c r="U110" s="327">
        <v>0</v>
      </c>
      <c r="V110" s="327">
        <v>0</v>
      </c>
      <c r="W110" s="328">
        <v>0</v>
      </c>
      <c r="X110" s="329">
        <v>0</v>
      </c>
      <c r="Y110" s="330">
        <v>0</v>
      </c>
      <c r="Z110" s="331">
        <v>0</v>
      </c>
      <c r="AA110" s="92">
        <v>0</v>
      </c>
      <c r="AB110" s="331">
        <v>0</v>
      </c>
      <c r="AC110" s="332">
        <v>0</v>
      </c>
      <c r="AD110" s="331">
        <v>0</v>
      </c>
      <c r="AE110" s="332"/>
      <c r="AF110" s="331">
        <v>0</v>
      </c>
      <c r="AG110" s="756"/>
      <c r="AH110" s="331">
        <v>0</v>
      </c>
      <c r="AI110" s="331">
        <v>0</v>
      </c>
      <c r="AJ110" s="331">
        <v>0</v>
      </c>
      <c r="AK110" s="707"/>
      <c r="AM110" s="106"/>
      <c r="AN110" s="106"/>
    </row>
    <row r="111" spans="1:1026">
      <c r="A111" s="80">
        <v>5</v>
      </c>
      <c r="B111" s="14" t="s">
        <v>16</v>
      </c>
      <c r="C111" s="14">
        <v>1</v>
      </c>
      <c r="D111" s="14" t="s">
        <v>16</v>
      </c>
      <c r="E111" s="15" t="s">
        <v>145</v>
      </c>
      <c r="F111" s="14" t="s">
        <v>16</v>
      </c>
      <c r="G111" s="81" t="s">
        <v>84</v>
      </c>
      <c r="H111" s="251" t="s">
        <v>110</v>
      </c>
      <c r="I111" s="94"/>
      <c r="J111" s="95"/>
      <c r="K111" s="94">
        <f>650*1*12</f>
        <v>7800</v>
      </c>
      <c r="L111" s="95">
        <v>5850</v>
      </c>
      <c r="M111" s="94">
        <v>6500</v>
      </c>
      <c r="N111" s="95">
        <v>6175</v>
      </c>
      <c r="O111" s="96">
        <v>0</v>
      </c>
      <c r="P111" s="97">
        <v>0</v>
      </c>
      <c r="Q111" s="96">
        <v>0</v>
      </c>
      <c r="R111" s="97">
        <v>0</v>
      </c>
      <c r="S111" s="99">
        <v>0</v>
      </c>
      <c r="T111" s="99">
        <v>0</v>
      </c>
      <c r="U111" s="99">
        <v>0</v>
      </c>
      <c r="V111" s="99">
        <v>0</v>
      </c>
      <c r="W111" s="100">
        <v>0</v>
      </c>
      <c r="X111" s="101">
        <v>0</v>
      </c>
      <c r="Y111" s="102">
        <v>0</v>
      </c>
      <c r="Z111" s="103">
        <v>0</v>
      </c>
      <c r="AA111" s="104">
        <v>0</v>
      </c>
      <c r="AB111" s="103">
        <v>0</v>
      </c>
      <c r="AC111" s="104">
        <v>0</v>
      </c>
      <c r="AD111" s="103">
        <v>0</v>
      </c>
      <c r="AE111" s="104"/>
      <c r="AF111" s="103">
        <v>0</v>
      </c>
      <c r="AG111" s="666"/>
      <c r="AH111" s="103">
        <v>0</v>
      </c>
      <c r="AI111" s="103">
        <v>0</v>
      </c>
      <c r="AJ111" s="103">
        <v>0</v>
      </c>
      <c r="AK111" s="706"/>
      <c r="AM111" s="106"/>
      <c r="AN111" s="106"/>
    </row>
    <row r="112" spans="1:1026">
      <c r="A112" s="80">
        <v>5</v>
      </c>
      <c r="B112" s="14" t="s">
        <v>16</v>
      </c>
      <c r="C112" s="14">
        <v>1</v>
      </c>
      <c r="D112" s="14" t="s">
        <v>16</v>
      </c>
      <c r="E112" s="15" t="s">
        <v>145</v>
      </c>
      <c r="F112" s="14" t="s">
        <v>16</v>
      </c>
      <c r="G112" s="81" t="s">
        <v>86</v>
      </c>
      <c r="H112" s="251" t="s">
        <v>111</v>
      </c>
      <c r="I112" s="94"/>
      <c r="J112" s="95"/>
      <c r="K112" s="94">
        <f>400*2*12</f>
        <v>9600</v>
      </c>
      <c r="L112" s="95">
        <v>3925</v>
      </c>
      <c r="M112" s="94">
        <v>8000</v>
      </c>
      <c r="N112" s="95">
        <v>4375</v>
      </c>
      <c r="O112" s="96">
        <v>0</v>
      </c>
      <c r="P112" s="97">
        <v>0</v>
      </c>
      <c r="Q112" s="96">
        <v>0</v>
      </c>
      <c r="R112" s="97">
        <v>0</v>
      </c>
      <c r="S112" s="99">
        <v>0</v>
      </c>
      <c r="T112" s="99">
        <v>0</v>
      </c>
      <c r="U112" s="99">
        <v>0</v>
      </c>
      <c r="V112" s="99">
        <v>0</v>
      </c>
      <c r="W112" s="100">
        <v>0</v>
      </c>
      <c r="X112" s="101">
        <v>0</v>
      </c>
      <c r="Y112" s="102">
        <v>0</v>
      </c>
      <c r="Z112" s="103">
        <v>0</v>
      </c>
      <c r="AA112" s="104">
        <v>0</v>
      </c>
      <c r="AB112" s="103">
        <v>0</v>
      </c>
      <c r="AC112" s="104">
        <v>0</v>
      </c>
      <c r="AD112" s="103">
        <v>0</v>
      </c>
      <c r="AE112" s="104"/>
      <c r="AF112" s="103">
        <v>0</v>
      </c>
      <c r="AG112" s="666"/>
      <c r="AH112" s="103">
        <v>0</v>
      </c>
      <c r="AI112" s="103">
        <v>0</v>
      </c>
      <c r="AJ112" s="103">
        <v>0</v>
      </c>
      <c r="AK112" s="706"/>
      <c r="AM112" s="106"/>
      <c r="AN112" s="106"/>
    </row>
    <row r="113" spans="1:40">
      <c r="A113" s="144"/>
      <c r="B113" s="680"/>
      <c r="C113" s="680"/>
      <c r="D113" s="680"/>
      <c r="E113" s="676"/>
      <c r="F113" s="680"/>
      <c r="G113" s="145"/>
      <c r="H113" s="146" t="s">
        <v>147</v>
      </c>
      <c r="I113" s="147">
        <f t="shared" ref="I113:O113" si="45">SUM(I110:I112)</f>
        <v>200</v>
      </c>
      <c r="J113" s="148">
        <f t="shared" si="45"/>
        <v>169</v>
      </c>
      <c r="K113" s="147">
        <f t="shared" si="45"/>
        <v>18900</v>
      </c>
      <c r="L113" s="148">
        <f t="shared" si="45"/>
        <v>10136.529999999999</v>
      </c>
      <c r="M113" s="147">
        <f t="shared" si="45"/>
        <v>15000</v>
      </c>
      <c r="N113" s="148">
        <f t="shared" si="45"/>
        <v>11142.52</v>
      </c>
      <c r="O113" s="149">
        <f t="shared" si="45"/>
        <v>0</v>
      </c>
      <c r="P113" s="150">
        <v>0</v>
      </c>
      <c r="Q113" s="150">
        <v>0</v>
      </c>
      <c r="R113" s="150">
        <v>0</v>
      </c>
      <c r="S113" s="152">
        <v>0</v>
      </c>
      <c r="T113" s="152">
        <v>0</v>
      </c>
      <c r="U113" s="152">
        <v>0</v>
      </c>
      <c r="V113" s="152">
        <v>0</v>
      </c>
      <c r="W113" s="152">
        <v>0</v>
      </c>
      <c r="X113" s="154">
        <v>0</v>
      </c>
      <c r="Y113" s="190">
        <v>0</v>
      </c>
      <c r="Z113" s="190">
        <v>0</v>
      </c>
      <c r="AA113" s="190">
        <v>0</v>
      </c>
      <c r="AB113" s="190">
        <v>0</v>
      </c>
      <c r="AC113" s="302">
        <v>0</v>
      </c>
      <c r="AD113" s="190">
        <v>0</v>
      </c>
      <c r="AE113" s="302"/>
      <c r="AF113" s="190">
        <v>0</v>
      </c>
      <c r="AG113" s="754"/>
      <c r="AH113" s="190">
        <v>0</v>
      </c>
      <c r="AI113" s="190">
        <v>0</v>
      </c>
      <c r="AJ113" s="190">
        <v>0</v>
      </c>
      <c r="AK113" s="702"/>
      <c r="AM113" s="106"/>
      <c r="AN113" s="106"/>
    </row>
    <row r="114" spans="1:40">
      <c r="A114" s="80"/>
      <c r="B114" s="14"/>
      <c r="C114" s="14"/>
      <c r="D114" s="14"/>
      <c r="E114" s="15"/>
      <c r="F114" s="14"/>
      <c r="G114" s="81"/>
      <c r="H114" s="319"/>
      <c r="I114" s="320"/>
      <c r="J114" s="321"/>
      <c r="K114" s="320"/>
      <c r="L114" s="321"/>
      <c r="M114" s="320"/>
      <c r="N114" s="321"/>
      <c r="O114" s="322"/>
      <c r="P114" s="323"/>
      <c r="Q114" s="322"/>
      <c r="R114" s="323"/>
      <c r="S114" s="324"/>
      <c r="T114" s="324"/>
      <c r="U114" s="324"/>
      <c r="V114" s="324"/>
      <c r="W114" s="325"/>
      <c r="X114" s="326"/>
      <c r="Y114" s="116"/>
      <c r="Z114" s="117"/>
      <c r="AA114" s="118"/>
      <c r="AB114" s="117"/>
      <c r="AC114" s="118"/>
      <c r="AD114" s="117"/>
      <c r="AE114" s="118"/>
      <c r="AF114" s="117"/>
      <c r="AG114" s="745"/>
      <c r="AH114" s="117"/>
      <c r="AI114" s="117"/>
      <c r="AJ114" s="117"/>
      <c r="AK114" s="700"/>
      <c r="AM114" s="106"/>
      <c r="AN114" s="106"/>
    </row>
    <row r="115" spans="1:40">
      <c r="A115" s="66">
        <v>5</v>
      </c>
      <c r="B115" s="67" t="s">
        <v>16</v>
      </c>
      <c r="C115" s="67">
        <v>1</v>
      </c>
      <c r="D115" s="67" t="s">
        <v>16</v>
      </c>
      <c r="E115" s="68" t="s">
        <v>148</v>
      </c>
      <c r="F115" s="67" t="s">
        <v>16</v>
      </c>
      <c r="G115" s="69" t="s">
        <v>70</v>
      </c>
      <c r="H115" s="238" t="s">
        <v>534</v>
      </c>
      <c r="I115" s="239"/>
      <c r="J115" s="240"/>
      <c r="K115" s="239"/>
      <c r="L115" s="240"/>
      <c r="M115" s="239"/>
      <c r="N115" s="240"/>
      <c r="O115" s="241"/>
      <c r="P115" s="242"/>
      <c r="Q115" s="241"/>
      <c r="R115" s="242"/>
      <c r="S115" s="243"/>
      <c r="T115" s="243"/>
      <c r="U115" s="243"/>
      <c r="V115" s="243"/>
      <c r="W115" s="333"/>
      <c r="X115" s="334"/>
      <c r="Y115" s="261"/>
      <c r="Z115" s="290"/>
      <c r="AA115" s="875"/>
      <c r="AB115" s="247"/>
      <c r="AC115" s="248"/>
      <c r="AD115" s="290"/>
      <c r="AE115" s="248"/>
      <c r="AF115" s="290"/>
      <c r="AG115" s="710"/>
      <c r="AH115" s="290"/>
      <c r="AI115" s="290"/>
      <c r="AJ115" s="290"/>
      <c r="AK115" s="710"/>
      <c r="AM115" s="106"/>
      <c r="AN115" s="106"/>
    </row>
    <row r="116" spans="1:40">
      <c r="A116" s="80">
        <v>5</v>
      </c>
      <c r="B116" s="14" t="s">
        <v>16</v>
      </c>
      <c r="C116" s="14">
        <v>1</v>
      </c>
      <c r="D116" s="14" t="s">
        <v>16</v>
      </c>
      <c r="E116" s="15" t="s">
        <v>148</v>
      </c>
      <c r="F116" s="14" t="s">
        <v>16</v>
      </c>
      <c r="G116" s="81" t="s">
        <v>81</v>
      </c>
      <c r="H116" s="250" t="s">
        <v>108</v>
      </c>
      <c r="I116" s="83">
        <v>200</v>
      </c>
      <c r="J116" s="84">
        <v>0</v>
      </c>
      <c r="K116" s="83">
        <v>1500</v>
      </c>
      <c r="L116" s="212">
        <v>66</v>
      </c>
      <c r="M116" s="83">
        <v>1500</v>
      </c>
      <c r="N116" s="84">
        <v>395.62</v>
      </c>
      <c r="O116" s="85">
        <v>1500</v>
      </c>
      <c r="P116" s="86">
        <v>0</v>
      </c>
      <c r="Q116" s="85">
        <v>750</v>
      </c>
      <c r="R116" s="86">
        <v>329.99</v>
      </c>
      <c r="S116" s="87">
        <v>1500</v>
      </c>
      <c r="T116" s="87">
        <v>1500</v>
      </c>
      <c r="U116" s="87">
        <v>-1450</v>
      </c>
      <c r="V116" s="87">
        <v>1500</v>
      </c>
      <c r="W116" s="88">
        <v>-1750</v>
      </c>
      <c r="X116" s="335">
        <v>0</v>
      </c>
      <c r="Y116" s="336">
        <v>0</v>
      </c>
      <c r="Z116" s="91">
        <v>0</v>
      </c>
      <c r="AA116" s="92">
        <v>0</v>
      </c>
      <c r="AB116" s="91">
        <v>0</v>
      </c>
      <c r="AC116" s="92">
        <v>0</v>
      </c>
      <c r="AD116" s="91">
        <v>0</v>
      </c>
      <c r="AE116" s="92"/>
      <c r="AF116" s="91">
        <v>0</v>
      </c>
      <c r="AG116" s="744"/>
      <c r="AH116" s="91">
        <v>0</v>
      </c>
      <c r="AI116" s="91">
        <v>0</v>
      </c>
      <c r="AJ116" s="1057">
        <v>1000</v>
      </c>
      <c r="AK116" s="707"/>
      <c r="AM116" s="106"/>
      <c r="AN116" s="106"/>
    </row>
    <row r="117" spans="1:40">
      <c r="A117" s="80">
        <v>5</v>
      </c>
      <c r="B117" s="14" t="s">
        <v>16</v>
      </c>
      <c r="C117" s="14">
        <v>1</v>
      </c>
      <c r="D117" s="14" t="s">
        <v>16</v>
      </c>
      <c r="E117" s="15" t="s">
        <v>148</v>
      </c>
      <c r="F117" s="14" t="s">
        <v>16</v>
      </c>
      <c r="G117" s="81" t="s">
        <v>84</v>
      </c>
      <c r="H117" s="251" t="s">
        <v>110</v>
      </c>
      <c r="I117" s="94"/>
      <c r="J117" s="95"/>
      <c r="K117" s="94">
        <f>650*1*12</f>
        <v>7800</v>
      </c>
      <c r="L117" s="95">
        <v>5400</v>
      </c>
      <c r="M117" s="94">
        <v>7800</v>
      </c>
      <c r="N117" s="95">
        <v>7325</v>
      </c>
      <c r="O117" s="96">
        <v>7800</v>
      </c>
      <c r="P117" s="97">
        <v>4550</v>
      </c>
      <c r="Q117" s="96">
        <v>7800</v>
      </c>
      <c r="R117" s="97">
        <v>6500</v>
      </c>
      <c r="S117" s="99">
        <f>650*12</f>
        <v>7800</v>
      </c>
      <c r="T117" s="99">
        <f>650*12</f>
        <v>7800</v>
      </c>
      <c r="U117" s="99">
        <v>-4550</v>
      </c>
      <c r="V117" s="87">
        <f>650*11+770</f>
        <v>7920</v>
      </c>
      <c r="W117" s="88">
        <v>-5850</v>
      </c>
      <c r="X117" s="89">
        <f>[1]Tabelle1!C11</f>
        <v>0</v>
      </c>
      <c r="Y117" s="90">
        <v>0</v>
      </c>
      <c r="Z117" s="91">
        <v>0</v>
      </c>
      <c r="AA117" s="92">
        <v>0</v>
      </c>
      <c r="AB117" s="91">
        <v>0</v>
      </c>
      <c r="AC117" s="92">
        <v>0</v>
      </c>
      <c r="AD117" s="91">
        <v>0</v>
      </c>
      <c r="AE117" s="92"/>
      <c r="AF117" s="91">
        <v>0</v>
      </c>
      <c r="AG117" s="744"/>
      <c r="AH117" s="91">
        <v>0</v>
      </c>
      <c r="AI117" s="91">
        <v>0</v>
      </c>
      <c r="AJ117" s="1053">
        <f>900*12</f>
        <v>10800</v>
      </c>
      <c r="AK117" s="700"/>
      <c r="AM117" s="106"/>
      <c r="AN117" s="106"/>
    </row>
    <row r="118" spans="1:40">
      <c r="A118" s="80">
        <v>5</v>
      </c>
      <c r="B118" s="14" t="s">
        <v>16</v>
      </c>
      <c r="C118" s="14">
        <v>1</v>
      </c>
      <c r="D118" s="14" t="s">
        <v>16</v>
      </c>
      <c r="E118" s="15" t="s">
        <v>148</v>
      </c>
      <c r="F118" s="14" t="s">
        <v>16</v>
      </c>
      <c r="G118" s="81" t="s">
        <v>86</v>
      </c>
      <c r="H118" s="251" t="s">
        <v>111</v>
      </c>
      <c r="I118" s="94"/>
      <c r="J118" s="95"/>
      <c r="K118" s="94">
        <f>400*2*12</f>
        <v>9600</v>
      </c>
      <c r="L118" s="95">
        <v>6400</v>
      </c>
      <c r="M118" s="94">
        <v>9200</v>
      </c>
      <c r="N118" s="95">
        <v>7750</v>
      </c>
      <c r="O118" s="96">
        <v>7200</v>
      </c>
      <c r="P118" s="97">
        <v>3290</v>
      </c>
      <c r="Q118" s="96">
        <v>5400</v>
      </c>
      <c r="R118" s="97">
        <v>5090</v>
      </c>
      <c r="S118" s="99">
        <f>20*10*9+20*11*3</f>
        <v>2460</v>
      </c>
      <c r="T118" s="99">
        <f>20*10*9+20*11*3</f>
        <v>2460</v>
      </c>
      <c r="U118" s="99">
        <v>-2200</v>
      </c>
      <c r="V118" s="87">
        <f>20*10*9+20*11*3</f>
        <v>2460</v>
      </c>
      <c r="W118" s="88">
        <v>-2600</v>
      </c>
      <c r="X118" s="89">
        <f>[1]Tabelle1!C10</f>
        <v>0</v>
      </c>
      <c r="Y118" s="90">
        <v>0</v>
      </c>
      <c r="Z118" s="91">
        <v>0</v>
      </c>
      <c r="AA118" s="92">
        <v>0</v>
      </c>
      <c r="AB118" s="91">
        <v>0</v>
      </c>
      <c r="AC118" s="92">
        <v>0</v>
      </c>
      <c r="AD118" s="91">
        <v>0</v>
      </c>
      <c r="AE118" s="92"/>
      <c r="AF118" s="91">
        <v>0</v>
      </c>
      <c r="AG118" s="744"/>
      <c r="AH118" s="91">
        <v>0</v>
      </c>
      <c r="AI118" s="91">
        <v>0</v>
      </c>
      <c r="AJ118" s="1057">
        <f>2*15*40*12</f>
        <v>14400</v>
      </c>
      <c r="AK118" s="700" t="s">
        <v>530</v>
      </c>
      <c r="AM118" s="106"/>
      <c r="AN118" s="106"/>
    </row>
    <row r="119" spans="1:40">
      <c r="A119" s="144"/>
      <c r="B119" s="680"/>
      <c r="C119" s="680"/>
      <c r="D119" s="680"/>
      <c r="E119" s="676"/>
      <c r="F119" s="680"/>
      <c r="G119" s="145"/>
      <c r="H119" s="146" t="s">
        <v>149</v>
      </c>
      <c r="I119" s="147">
        <f t="shared" ref="I119:P119" si="46">SUM(I116:I118)</f>
        <v>200</v>
      </c>
      <c r="J119" s="148">
        <f t="shared" si="46"/>
        <v>0</v>
      </c>
      <c r="K119" s="147">
        <f t="shared" si="46"/>
        <v>18900</v>
      </c>
      <c r="L119" s="148">
        <f t="shared" si="46"/>
        <v>11866</v>
      </c>
      <c r="M119" s="147">
        <f t="shared" si="46"/>
        <v>18500</v>
      </c>
      <c r="N119" s="148">
        <f t="shared" si="46"/>
        <v>15470.619999999999</v>
      </c>
      <c r="O119" s="149">
        <f t="shared" si="46"/>
        <v>16500</v>
      </c>
      <c r="P119" s="150">
        <f t="shared" si="46"/>
        <v>7840</v>
      </c>
      <c r="Q119" s="149">
        <v>13950</v>
      </c>
      <c r="R119" s="150">
        <f>SUM(R116:R118)</f>
        <v>11919.99</v>
      </c>
      <c r="S119" s="151">
        <f>SUM(S116:S118)</f>
        <v>11760</v>
      </c>
      <c r="T119" s="151">
        <f>SUM(T116:T118)</f>
        <v>11760</v>
      </c>
      <c r="U119" s="151">
        <v>-8200</v>
      </c>
      <c r="V119" s="151">
        <f>SUM(V116:V118)</f>
        <v>11880</v>
      </c>
      <c r="W119" s="152">
        <v>-10200</v>
      </c>
      <c r="X119" s="153">
        <f>SUM(X116:X118)</f>
        <v>0</v>
      </c>
      <c r="Y119" s="190">
        <v>0</v>
      </c>
      <c r="Z119" s="301">
        <v>0</v>
      </c>
      <c r="AA119" s="301">
        <v>0</v>
      </c>
      <c r="AB119" s="301">
        <v>0</v>
      </c>
      <c r="AC119" s="302">
        <v>0</v>
      </c>
      <c r="AD119" s="301">
        <v>0</v>
      </c>
      <c r="AE119" s="302"/>
      <c r="AF119" s="301">
        <v>0</v>
      </c>
      <c r="AG119" s="754"/>
      <c r="AH119" s="301">
        <v>0</v>
      </c>
      <c r="AI119" s="301">
        <v>0</v>
      </c>
      <c r="AJ119" s="301">
        <f>AJ118+AJ117+AJ116</f>
        <v>26200</v>
      </c>
      <c r="AK119" s="702"/>
      <c r="AM119" s="106"/>
      <c r="AN119" s="106"/>
    </row>
    <row r="120" spans="1:40">
      <c r="A120" s="80"/>
      <c r="B120" s="14"/>
      <c r="C120" s="14"/>
      <c r="D120" s="14"/>
      <c r="E120" s="15"/>
      <c r="F120" s="14"/>
      <c r="G120" s="81"/>
      <c r="H120" s="319"/>
      <c r="I120" s="320"/>
      <c r="J120" s="321"/>
      <c r="K120" s="320"/>
      <c r="L120" s="321"/>
      <c r="M120" s="320"/>
      <c r="N120" s="321"/>
      <c r="O120" s="322"/>
      <c r="P120" s="323"/>
      <c r="Q120" s="322"/>
      <c r="R120" s="323"/>
      <c r="S120" s="324"/>
      <c r="T120" s="324"/>
      <c r="U120" s="324"/>
      <c r="V120" s="324"/>
      <c r="W120" s="325"/>
      <c r="X120" s="326"/>
      <c r="Y120" s="116"/>
      <c r="Z120" s="117"/>
      <c r="AA120" s="118"/>
      <c r="AB120" s="117"/>
      <c r="AC120" s="118"/>
      <c r="AD120" s="117"/>
      <c r="AE120" s="118"/>
      <c r="AF120" s="117"/>
      <c r="AG120" s="745"/>
      <c r="AH120" s="117"/>
      <c r="AI120" s="117"/>
      <c r="AJ120" s="117"/>
      <c r="AK120" s="700"/>
      <c r="AM120" s="106"/>
      <c r="AN120" s="106"/>
    </row>
    <row r="121" spans="1:40">
      <c r="A121" s="144"/>
      <c r="B121" s="680"/>
      <c r="C121" s="680"/>
      <c r="D121" s="680"/>
      <c r="E121" s="676"/>
      <c r="F121" s="680"/>
      <c r="G121" s="145"/>
      <c r="H121" s="337" t="s">
        <v>150</v>
      </c>
      <c r="I121" s="147">
        <f>I39+I61+I179+I66+I72+I78+I85+I92+I98+I104+I46+I110+I116</f>
        <v>24650</v>
      </c>
      <c r="J121" s="148">
        <f>J39+J46+J61+J179+J66+J72+J78+J86+J93+J99+J105+J53</f>
        <v>13159.42</v>
      </c>
      <c r="K121" s="147">
        <f>K39+K46+K61+K179+K66+K72+K78+K85+K92+K98+K104+K110+K116</f>
        <v>33000</v>
      </c>
      <c r="L121" s="148">
        <f>L39+L46+L61+L179+L66+L72+L78+L85+L92+L98+L104+L116+L110</f>
        <v>11767.91</v>
      </c>
      <c r="M121" s="147">
        <f>M46+M39+M61+M179+M66+M72+M78+M85+M92+M45+M98+M104+M110+M116</f>
        <v>33600</v>
      </c>
      <c r="N121" s="148">
        <f>N46+N39+N61+N179+N66+N72+N78+N85+N92+N45+N98+N104+N110+N116</f>
        <v>18296.099999999999</v>
      </c>
      <c r="O121" s="149">
        <f>O39+O53+O61+O179+O66+O72+O78+O85+O92+O98+O104+O110+O116+O46</f>
        <v>34100</v>
      </c>
      <c r="P121" s="150">
        <f>P39+P53+P61+P179+P66+P72+P78+P85+P92+P98+P104+P110+P116+P46</f>
        <v>4565.7</v>
      </c>
      <c r="Q121" s="149">
        <v>19150</v>
      </c>
      <c r="R121" s="150">
        <f>R39+R53+R61+R179+R66+R72+R78+R85+R92+R98+R104+R110+R116+R46</f>
        <v>7551.6500000000005</v>
      </c>
      <c r="S121" s="151">
        <f>S39+S53+S61+S179+S66+S72+S78+S85+S92+S98+S104+S110+S116+S46+S55</f>
        <v>31800</v>
      </c>
      <c r="T121" s="151">
        <f>T39+T53+T61+T179+T66+T72+T78+T85+T92+T98+T104+T110+T116+T46+T55</f>
        <v>31800</v>
      </c>
      <c r="U121" s="151">
        <v>-4848.03</v>
      </c>
      <c r="V121" s="151">
        <f t="shared" ref="V121:AD121" si="47">V39+V53+V61+V179+V66+V72+V78+V85+V92+V98+V104+V110+V116+V46+V55</f>
        <v>30300</v>
      </c>
      <c r="W121" s="152">
        <f t="shared" si="47"/>
        <v>-8313.98</v>
      </c>
      <c r="X121" s="153">
        <f t="shared" si="47"/>
        <v>21000</v>
      </c>
      <c r="Y121" s="154">
        <f t="shared" si="47"/>
        <v>-2894.6499999999996</v>
      </c>
      <c r="Z121" s="153">
        <f t="shared" si="47"/>
        <v>18000</v>
      </c>
      <c r="AA121" s="153">
        <f t="shared" si="47"/>
        <v>-11673.91</v>
      </c>
      <c r="AB121" s="153">
        <f t="shared" si="47"/>
        <v>20000</v>
      </c>
      <c r="AC121" s="876">
        <f t="shared" si="47"/>
        <v>-11673.91</v>
      </c>
      <c r="AD121" s="153">
        <f t="shared" si="47"/>
        <v>17000</v>
      </c>
      <c r="AE121" s="155"/>
      <c r="AF121" s="153">
        <f>AF39+AF53+AF61+AF179+AF66+AF72+AF78+AF85+AF92+AF98+AF104+AF110+AF116+AF46+AF55</f>
        <v>16000</v>
      </c>
      <c r="AG121" s="747"/>
      <c r="AH121" s="153">
        <f>AH39+AH53+AH61+AH179+AH66+AH72+AH78+AH85+AH92+AH98+AH104+AH110+AH116+AH46+AH55</f>
        <v>16500</v>
      </c>
      <c r="AI121" s="153">
        <f>AI39+AI53+AI61+AI179+AI66+AI72+AI78+AI85+AI92+AI98+AI104+AI110+AI116+AI46+AI55</f>
        <v>18000</v>
      </c>
      <c r="AJ121" s="153">
        <f>AJ39+AJ53+AJ61+AJ179+AJ66+AJ72+AJ78+AJ85+AJ92+AJ98+AJ104+AJ110+AJ116+AJ46+AJ55</f>
        <v>19000</v>
      </c>
      <c r="AK121" s="713"/>
      <c r="AM121" s="106"/>
      <c r="AN121" s="106"/>
    </row>
    <row r="122" spans="1:40">
      <c r="A122" s="144"/>
      <c r="B122" s="680"/>
      <c r="C122" s="680"/>
      <c r="D122" s="680"/>
      <c r="E122" s="676"/>
      <c r="F122" s="680"/>
      <c r="G122" s="145"/>
      <c r="H122" s="337" t="s">
        <v>151</v>
      </c>
      <c r="I122" s="147">
        <f>I42+I68+I74+I80+I88+I94+I100+I106+I49</f>
        <v>73600</v>
      </c>
      <c r="J122" s="148">
        <f>J42+J68+J74+J80+J88+J95+J101+J107+J62</f>
        <v>89015.24</v>
      </c>
      <c r="K122" s="147">
        <f>K42+K62+K68+K74+K80+K87+K88+K94+K100+K106+K112+K118+K49</f>
        <v>128400</v>
      </c>
      <c r="L122" s="148">
        <f>L42+L68+L74+L80+L87+L94+L100+L106+L88+L62+L49+L118+L112</f>
        <v>84313.78</v>
      </c>
      <c r="M122" s="147">
        <f>M49+M42+M68+M74+M80+M87+M88+M94+M100+M106+M112+M118</f>
        <v>105400</v>
      </c>
      <c r="N122" s="148">
        <f>N49+N42+N68+N74+N80+N87+N88+N94+N100+N106+N112+N118+N62</f>
        <v>113239.57</v>
      </c>
      <c r="O122" s="149">
        <f>O42+O62+O68+O74+O80+O81+O87+O88+O94+O100+O106+O112+O118+O57+O49+O363</f>
        <v>127800</v>
      </c>
      <c r="P122" s="150">
        <f>P42+P62+P68+P74+P80+P81+P87+P88+P94+P100+P106+P112+P118+P57+P49+P363</f>
        <v>71445.98000000001</v>
      </c>
      <c r="Q122" s="149">
        <v>128760</v>
      </c>
      <c r="R122" s="150">
        <f>R42+R68+R74+R80+R81+R87+R88+R94+R100+R106+R112+R118+R57+R49</f>
        <v>80343.98000000001</v>
      </c>
      <c r="S122" s="151">
        <f>S42+S68+S74+S80+S81+S87+S88+S94+S100+S106+S112+S118+S57+S49+S363</f>
        <v>130380</v>
      </c>
      <c r="T122" s="151">
        <f>T42+T68+T74+T80+T81+T87+T88+T94+T100+T106+T112+T118+T57+T49+T363</f>
        <v>130380</v>
      </c>
      <c r="U122" s="151">
        <v>-60139.78</v>
      </c>
      <c r="V122" s="151">
        <f t="shared" ref="V122:AD122" si="48">V42+V68+V74+V80+V81+V87+V88+V94+V100+V106+V112+V118+V57+V49+V363</f>
        <v>14310324.4</v>
      </c>
      <c r="W122" s="152">
        <f t="shared" si="48"/>
        <v>-81761.34</v>
      </c>
      <c r="X122" s="153">
        <f t="shared" si="48"/>
        <v>146880</v>
      </c>
      <c r="Y122" s="154">
        <f t="shared" si="48"/>
        <v>-59844.02</v>
      </c>
      <c r="Z122" s="153">
        <f t="shared" si="48"/>
        <v>180240</v>
      </c>
      <c r="AA122" s="153">
        <f t="shared" ref="AA122" si="49">AA42+AA68+AA74+AA80+AA81+AA87+AA88+AA94+AA100+AA106+AA112+AA118+AA57+AA49+AA363</f>
        <v>-171021.46999999997</v>
      </c>
      <c r="AB122" s="153">
        <f t="shared" si="48"/>
        <v>234000</v>
      </c>
      <c r="AC122" s="876">
        <f t="shared" si="48"/>
        <v>-171021.46999999997</v>
      </c>
      <c r="AD122" s="153">
        <f t="shared" si="48"/>
        <v>229720</v>
      </c>
      <c r="AE122" s="155"/>
      <c r="AF122" s="153">
        <f>AF42+AF68+AF74+AF80+AF81+AF87+AF88+AF94+AF100+AF106+AF112+AF118+AF57+AF49+AF363</f>
        <v>264200</v>
      </c>
      <c r="AG122" s="747"/>
      <c r="AH122" s="153">
        <f>AH42+AH68+AH74+AH80+AH81+AH87+AH88+AH94+AH100+AH106+AH112+AH118+AH57+AH49+AH363</f>
        <v>268700</v>
      </c>
      <c r="AI122" s="153">
        <f>AI42+AI68+AI74+AI80+AI81+AI87+AI88+AI94+AI100+AI106+AI112+AI118+AI57+AI49+AI363</f>
        <v>271400</v>
      </c>
      <c r="AJ122" s="153">
        <f>AJ42+AJ68+AJ74+AJ80+AJ81+AJ87+AJ88+AJ94+AJ100+AJ106+AJ112+AJ118+AJ57+AJ49+AJ363</f>
        <v>262800</v>
      </c>
      <c r="AK122" s="702"/>
      <c r="AM122" s="106"/>
      <c r="AN122" s="106"/>
    </row>
    <row r="123" spans="1:40">
      <c r="A123" s="144"/>
      <c r="B123" s="680"/>
      <c r="C123" s="680"/>
      <c r="D123" s="680"/>
      <c r="E123" s="676"/>
      <c r="F123" s="680"/>
      <c r="G123" s="145"/>
      <c r="H123" s="337" t="s">
        <v>152</v>
      </c>
      <c r="I123" s="147">
        <f>I41+I67+I73+I79+I87+I94+I100+I106+I118+I48+I112+I57</f>
        <v>82400</v>
      </c>
      <c r="J123" s="148">
        <f>J41+J48+J67+J73+J79+J87+J94+J100+J106</f>
        <v>80886.320000000007</v>
      </c>
      <c r="K123" s="147">
        <f>K41+K48+K67+K73+K79+K86+K93+K99+K105+K111+K117</f>
        <v>101400</v>
      </c>
      <c r="L123" s="148">
        <f>L41+L117+L67+L73+L79+L86+L93+L99+L105+L111+L48</f>
        <v>74500</v>
      </c>
      <c r="M123" s="147">
        <f>M41+M48+M54+M67+M73+M79+M86+M93+M99+M105+M111+M117</f>
        <v>101400</v>
      </c>
      <c r="N123" s="148">
        <f>N41+N48+N54+N67+N73+N79+N86+N93+N99+N105+N111+N117</f>
        <v>100463</v>
      </c>
      <c r="O123" s="149">
        <f>O41+O54+O67+O73+O79+O86+O93+O99+O105+O111+O117+O48</f>
        <v>101400</v>
      </c>
      <c r="P123" s="150">
        <f>P41+P54+P67+P73+P79+P86+P93+P99+P105+P111+P117+P48</f>
        <v>57890</v>
      </c>
      <c r="Q123" s="149">
        <v>103245</v>
      </c>
      <c r="R123" s="150">
        <f>R41+R54+R67+R73+R79+R86+R93+R99+R105+R111+R117+R48</f>
        <v>82700</v>
      </c>
      <c r="S123" s="151">
        <f>S41+S48+S54+S67+S73+S79+S86+S93+S99+S105+S111+S117</f>
        <v>117000</v>
      </c>
      <c r="T123" s="151">
        <f>T41+T48+T54+T67+T73+T79+T86+T93+T99+T105+T111+T117</f>
        <v>117000</v>
      </c>
      <c r="U123" s="151">
        <v>-66300</v>
      </c>
      <c r="V123" s="151">
        <f t="shared" ref="V123:AD123" si="50">V41+V48+V54+V67+V73+V79+V86+V93+V99+V105+V111+V117</f>
        <v>118800</v>
      </c>
      <c r="W123" s="152">
        <f t="shared" si="50"/>
        <v>-85800</v>
      </c>
      <c r="X123" s="153">
        <f t="shared" si="50"/>
        <v>109440</v>
      </c>
      <c r="Y123" s="154">
        <f t="shared" si="50"/>
        <v>-44215</v>
      </c>
      <c r="Z123" s="153">
        <f t="shared" si="50"/>
        <v>109920</v>
      </c>
      <c r="AA123" s="153">
        <f t="shared" ref="AA123" si="51">AA41+AA48+AA54+AA67+AA73+AA79+AA86+AA93+AA99+AA105+AA111+AA117</f>
        <v>-106043.8</v>
      </c>
      <c r="AB123" s="153">
        <f t="shared" si="50"/>
        <v>101640</v>
      </c>
      <c r="AC123" s="876">
        <f t="shared" ref="AC123" si="52">AC41+AC48+AC54+AC67+AC73+AC79+AC86+AC93+AC99+AC105+AC111+AC117</f>
        <v>-106043.8</v>
      </c>
      <c r="AD123" s="153">
        <f t="shared" si="50"/>
        <v>121680</v>
      </c>
      <c r="AE123" s="155"/>
      <c r="AF123" s="153">
        <f>AF41+AF48+AF54+AF67+AF73+AF79+AF86+AF93+AF99+AF105+AF111+AF117</f>
        <v>119064</v>
      </c>
      <c r="AG123" s="747"/>
      <c r="AH123" s="153">
        <f>AH41+AH48+AH54+AH67+AH73+AH79+AH86+AH93+AH99+AH105+AH111+AH117</f>
        <v>119064</v>
      </c>
      <c r="AI123" s="153">
        <f>AI41+AI48+AI54+AI67+AI73+AI79+AI86+AI93+AI99+AI105+AI111+AI117</f>
        <v>119064</v>
      </c>
      <c r="AJ123" s="153">
        <f>AJ41+AJ48+AJ54+AJ67+AJ73+AJ79+AJ86+AJ93+AJ99+AJ105+AJ111+AJ117</f>
        <v>139200</v>
      </c>
      <c r="AK123" s="702"/>
      <c r="AM123" s="106"/>
      <c r="AN123" s="106"/>
    </row>
    <row r="124" spans="1:40">
      <c r="A124" s="144"/>
      <c r="B124" s="680"/>
      <c r="C124" s="680"/>
      <c r="D124" s="680"/>
      <c r="E124" s="676"/>
      <c r="F124" s="680"/>
      <c r="G124" s="145"/>
      <c r="H124" s="337" t="s">
        <v>153</v>
      </c>
      <c r="I124" s="147">
        <f t="shared" ref="I124:P124" si="53">I121+I122+I123</f>
        <v>180650</v>
      </c>
      <c r="J124" s="148">
        <f t="shared" si="53"/>
        <v>183060.98</v>
      </c>
      <c r="K124" s="147">
        <f t="shared" si="53"/>
        <v>262800</v>
      </c>
      <c r="L124" s="148">
        <f t="shared" si="53"/>
        <v>170581.69</v>
      </c>
      <c r="M124" s="147">
        <f t="shared" si="53"/>
        <v>240400</v>
      </c>
      <c r="N124" s="148">
        <f t="shared" si="53"/>
        <v>231998.67</v>
      </c>
      <c r="O124" s="149">
        <f t="shared" si="53"/>
        <v>263300</v>
      </c>
      <c r="P124" s="150">
        <f t="shared" si="53"/>
        <v>133901.68</v>
      </c>
      <c r="Q124" s="149">
        <v>251155</v>
      </c>
      <c r="R124" s="150">
        <f>R121+R122+R123</f>
        <v>170595.63</v>
      </c>
      <c r="S124" s="151">
        <f>S121+S122+S123</f>
        <v>279180</v>
      </c>
      <c r="T124" s="151">
        <f>T121+T122+T123</f>
        <v>279180</v>
      </c>
      <c r="U124" s="151">
        <v>-131287.81</v>
      </c>
      <c r="V124" s="151">
        <f t="shared" ref="V124:AD124" si="54">V121+V122+V123</f>
        <v>14459424.4</v>
      </c>
      <c r="W124" s="152">
        <f t="shared" si="54"/>
        <v>-175875.32</v>
      </c>
      <c r="X124" s="153">
        <f t="shared" si="54"/>
        <v>277320</v>
      </c>
      <c r="Y124" s="154">
        <f t="shared" si="54"/>
        <v>-106953.67</v>
      </c>
      <c r="Z124" s="153">
        <f t="shared" si="54"/>
        <v>308160</v>
      </c>
      <c r="AA124" s="153">
        <f t="shared" ref="AA124" si="55">AA121+AA122+AA123</f>
        <v>-288739.18</v>
      </c>
      <c r="AB124" s="153">
        <f t="shared" si="54"/>
        <v>355640</v>
      </c>
      <c r="AC124" s="876">
        <f t="shared" ref="AC124" si="56">AC121+AC122+AC123</f>
        <v>-288739.18</v>
      </c>
      <c r="AD124" s="153">
        <f t="shared" si="54"/>
        <v>368400</v>
      </c>
      <c r="AE124" s="155"/>
      <c r="AF124" s="153">
        <f>AF121+AF122+AF123</f>
        <v>399264</v>
      </c>
      <c r="AG124" s="747"/>
      <c r="AH124" s="153">
        <f>AH121+AH122+AH123</f>
        <v>404264</v>
      </c>
      <c r="AI124" s="153">
        <f>AI121+AI122+AI123</f>
        <v>408464</v>
      </c>
      <c r="AJ124" s="153">
        <f>AJ121+AJ122+AJ123</f>
        <v>421000</v>
      </c>
      <c r="AK124" s="702"/>
      <c r="AM124" s="106"/>
      <c r="AN124" s="106"/>
    </row>
    <row r="125" spans="1:40">
      <c r="A125" s="144"/>
      <c r="B125" s="680"/>
      <c r="C125" s="680"/>
      <c r="D125" s="680"/>
      <c r="E125" s="676"/>
      <c r="F125" s="680"/>
      <c r="G125" s="145"/>
      <c r="H125" s="339" t="s">
        <v>154</v>
      </c>
      <c r="I125" s="340">
        <f t="shared" ref="I125:AD125" si="57">I40+I47</f>
        <v>77800</v>
      </c>
      <c r="J125" s="341">
        <f t="shared" si="57"/>
        <v>75433.25</v>
      </c>
      <c r="K125" s="340">
        <f t="shared" si="57"/>
        <v>77800</v>
      </c>
      <c r="L125" s="341">
        <f t="shared" si="57"/>
        <v>56922.45</v>
      </c>
      <c r="M125" s="340">
        <f t="shared" si="57"/>
        <v>77800</v>
      </c>
      <c r="N125" s="341">
        <f t="shared" si="57"/>
        <v>74222.66</v>
      </c>
      <c r="O125" s="340">
        <f t="shared" si="57"/>
        <v>77800</v>
      </c>
      <c r="P125" s="341">
        <f t="shared" si="57"/>
        <v>47104.979999999996</v>
      </c>
      <c r="Q125" s="340">
        <f t="shared" si="57"/>
        <v>77800</v>
      </c>
      <c r="R125" s="341">
        <f t="shared" si="57"/>
        <v>66041.64</v>
      </c>
      <c r="S125" s="342">
        <f t="shared" si="57"/>
        <v>77400</v>
      </c>
      <c r="T125" s="342">
        <f t="shared" si="57"/>
        <v>77400</v>
      </c>
      <c r="U125" s="342">
        <f t="shared" si="57"/>
        <v>-43863.33</v>
      </c>
      <c r="V125" s="342">
        <f t="shared" si="57"/>
        <v>66900</v>
      </c>
      <c r="W125" s="343">
        <f t="shared" si="57"/>
        <v>-54992.78</v>
      </c>
      <c r="X125" s="344">
        <f t="shared" si="57"/>
        <v>89200</v>
      </c>
      <c r="Y125" s="345">
        <f t="shared" si="57"/>
        <v>-28473.15</v>
      </c>
      <c r="Z125" s="344">
        <f t="shared" si="57"/>
        <v>77800</v>
      </c>
      <c r="AA125" s="344">
        <f t="shared" ref="AA125" si="58">AA40+AA47</f>
        <v>-72917.87</v>
      </c>
      <c r="AB125" s="344">
        <f t="shared" si="57"/>
        <v>101100</v>
      </c>
      <c r="AC125" s="346">
        <f t="shared" ref="AC125" si="59">AC40+AC47</f>
        <v>-72917.87</v>
      </c>
      <c r="AD125" s="344">
        <f t="shared" si="57"/>
        <v>99500</v>
      </c>
      <c r="AE125" s="346"/>
      <c r="AF125" s="344">
        <f>AF40+AF47</f>
        <v>101100</v>
      </c>
      <c r="AG125" s="757"/>
      <c r="AH125" s="344">
        <f>AH40+AH47</f>
        <v>111420</v>
      </c>
      <c r="AI125" s="344">
        <f>AI40+AI47</f>
        <v>115626</v>
      </c>
      <c r="AJ125" s="344">
        <f>AJ40+AJ47</f>
        <v>115626</v>
      </c>
      <c r="AK125" s="714"/>
      <c r="AM125" s="106"/>
      <c r="AN125" s="106"/>
    </row>
    <row r="126" spans="1:40">
      <c r="A126" s="80">
        <v>5</v>
      </c>
      <c r="B126" s="14" t="s">
        <v>16</v>
      </c>
      <c r="C126" s="14">
        <v>1</v>
      </c>
      <c r="D126" s="14" t="s">
        <v>16</v>
      </c>
      <c r="E126" s="15" t="s">
        <v>155</v>
      </c>
      <c r="F126" s="14" t="s">
        <v>16</v>
      </c>
      <c r="G126" s="81" t="s">
        <v>70</v>
      </c>
      <c r="H126" s="347" t="s">
        <v>156</v>
      </c>
      <c r="I126" s="239"/>
      <c r="J126" s="240"/>
      <c r="K126" s="239"/>
      <c r="L126" s="240"/>
      <c r="M126" s="240"/>
      <c r="N126" s="240"/>
      <c r="O126" s="241"/>
      <c r="P126" s="240"/>
      <c r="Q126" s="241"/>
      <c r="R126" s="240"/>
      <c r="S126" s="243"/>
      <c r="T126" s="243"/>
      <c r="U126" s="243"/>
      <c r="V126" s="348"/>
      <c r="W126" s="333"/>
      <c r="X126" s="334"/>
      <c r="Y126" s="261"/>
      <c r="Z126" s="262"/>
      <c r="AA126" s="875"/>
      <c r="AB126" s="262"/>
      <c r="AC126" s="248"/>
      <c r="AD126" s="262"/>
      <c r="AE126" s="248"/>
      <c r="AF126" s="262"/>
      <c r="AG126" s="751"/>
      <c r="AH126" s="262"/>
      <c r="AI126" s="262"/>
      <c r="AJ126" s="262"/>
      <c r="AK126" s="712"/>
      <c r="AM126" s="106"/>
      <c r="AN126" s="106"/>
    </row>
    <row r="127" spans="1:40">
      <c r="A127" s="349">
        <v>5</v>
      </c>
      <c r="B127" s="350" t="s">
        <v>16</v>
      </c>
      <c r="C127" s="350">
        <v>1</v>
      </c>
      <c r="D127" s="350" t="s">
        <v>16</v>
      </c>
      <c r="E127" s="351" t="s">
        <v>155</v>
      </c>
      <c r="F127" s="350" t="s">
        <v>16</v>
      </c>
      <c r="G127" s="352" t="s">
        <v>81</v>
      </c>
      <c r="H127" s="353" t="s">
        <v>82</v>
      </c>
      <c r="I127" s="83">
        <v>16000</v>
      </c>
      <c r="J127" s="84">
        <v>13971.7</v>
      </c>
      <c r="K127" s="83">
        <v>20000</v>
      </c>
      <c r="L127" s="84">
        <v>6141.86</v>
      </c>
      <c r="M127" s="83">
        <v>16000</v>
      </c>
      <c r="N127" s="84">
        <v>11664.46</v>
      </c>
      <c r="O127" s="85">
        <v>18000</v>
      </c>
      <c r="P127" s="84">
        <v>4606.7299999999996</v>
      </c>
      <c r="Q127" s="85">
        <v>15500</v>
      </c>
      <c r="R127" s="84">
        <v>6586.48</v>
      </c>
      <c r="S127" s="87">
        <v>18000</v>
      </c>
      <c r="T127" s="354">
        <v>18000</v>
      </c>
      <c r="U127" s="87">
        <v>-3788.85</v>
      </c>
      <c r="V127" s="354">
        <v>18000</v>
      </c>
      <c r="W127" s="35">
        <v>-4109.03</v>
      </c>
      <c r="X127" s="355">
        <v>15000</v>
      </c>
      <c r="Y127" s="356">
        <v>-3736.65</v>
      </c>
      <c r="Z127" s="357">
        <v>18000</v>
      </c>
      <c r="AA127" s="359">
        <v>-17186.66</v>
      </c>
      <c r="AB127" s="357">
        <v>18000</v>
      </c>
      <c r="AC127" s="359">
        <v>-17186.66</v>
      </c>
      <c r="AD127" s="357">
        <v>18000</v>
      </c>
      <c r="AE127" s="359">
        <v>-15071.89</v>
      </c>
      <c r="AF127" s="357">
        <v>18000</v>
      </c>
      <c r="AG127" s="758">
        <v>-2293.86</v>
      </c>
      <c r="AH127" s="357">
        <v>18000</v>
      </c>
      <c r="AI127" s="357">
        <v>18000</v>
      </c>
      <c r="AJ127" s="357">
        <v>18000</v>
      </c>
      <c r="AK127" s="715"/>
      <c r="AM127" s="106"/>
      <c r="AN127" s="106"/>
    </row>
    <row r="128" spans="1:40">
      <c r="A128" s="360">
        <v>5</v>
      </c>
      <c r="B128" s="14" t="s">
        <v>16</v>
      </c>
      <c r="C128" s="14">
        <v>1</v>
      </c>
      <c r="D128" s="14" t="s">
        <v>16</v>
      </c>
      <c r="E128" s="15" t="s">
        <v>155</v>
      </c>
      <c r="F128" s="14" t="s">
        <v>16</v>
      </c>
      <c r="G128" s="81" t="s">
        <v>84</v>
      </c>
      <c r="H128" s="251" t="s">
        <v>85</v>
      </c>
      <c r="I128" s="122">
        <v>10000</v>
      </c>
      <c r="J128" s="95">
        <v>8431.2999999999993</v>
      </c>
      <c r="K128" s="94">
        <v>10000</v>
      </c>
      <c r="L128" s="95">
        <v>0</v>
      </c>
      <c r="M128" s="122">
        <v>0</v>
      </c>
      <c r="N128" s="123">
        <v>0</v>
      </c>
      <c r="O128" s="96">
        <v>10000</v>
      </c>
      <c r="P128" s="123">
        <v>0</v>
      </c>
      <c r="Q128" s="96">
        <v>5000</v>
      </c>
      <c r="R128" s="123">
        <v>0</v>
      </c>
      <c r="S128" s="99">
        <v>10000</v>
      </c>
      <c r="T128" s="99">
        <v>10000</v>
      </c>
      <c r="U128" s="99">
        <v>0</v>
      </c>
      <c r="V128" s="99">
        <v>18000</v>
      </c>
      <c r="W128" s="88">
        <v>0</v>
      </c>
      <c r="X128" s="89">
        <v>20000</v>
      </c>
      <c r="Y128" s="90">
        <v>0</v>
      </c>
      <c r="Z128" s="136">
        <v>20000</v>
      </c>
      <c r="AA128" s="137">
        <v>-19239.43</v>
      </c>
      <c r="AB128" s="136">
        <v>20000</v>
      </c>
      <c r="AC128" s="137">
        <v>-19239.43</v>
      </c>
      <c r="AD128" s="136">
        <v>30000</v>
      </c>
      <c r="AE128" s="137">
        <v>-54339.09</v>
      </c>
      <c r="AF128" s="849">
        <v>20000</v>
      </c>
      <c r="AG128" s="138"/>
      <c r="AH128" s="849">
        <v>20000</v>
      </c>
      <c r="AI128" s="849">
        <v>20000</v>
      </c>
      <c r="AJ128" s="1058">
        <v>17500</v>
      </c>
      <c r="AK128" s="706" t="s">
        <v>531</v>
      </c>
      <c r="AM128" s="106"/>
      <c r="AN128" s="106"/>
    </row>
    <row r="129" spans="1:1026">
      <c r="A129" s="360">
        <v>5</v>
      </c>
      <c r="B129" s="14" t="s">
        <v>16</v>
      </c>
      <c r="C129" s="14">
        <v>1</v>
      </c>
      <c r="D129" s="14" t="s">
        <v>16</v>
      </c>
      <c r="E129" s="15" t="s">
        <v>155</v>
      </c>
      <c r="F129" s="14" t="s">
        <v>16</v>
      </c>
      <c r="G129" s="81" t="s">
        <v>86</v>
      </c>
      <c r="H129" s="251" t="s">
        <v>157</v>
      </c>
      <c r="I129" s="122">
        <v>30000</v>
      </c>
      <c r="J129" s="95">
        <v>29925.42</v>
      </c>
      <c r="K129" s="94">
        <v>20000</v>
      </c>
      <c r="L129" s="95">
        <v>13363.75</v>
      </c>
      <c r="M129" s="94">
        <v>24600</v>
      </c>
      <c r="N129" s="95">
        <v>21461.599999999999</v>
      </c>
      <c r="O129" s="96">
        <v>23000</v>
      </c>
      <c r="P129" s="95">
        <v>2044.32</v>
      </c>
      <c r="Q129" s="96">
        <v>20000</v>
      </c>
      <c r="R129" s="95">
        <v>3961.65</v>
      </c>
      <c r="S129" s="99">
        <v>26000</v>
      </c>
      <c r="T129" s="99">
        <v>26000</v>
      </c>
      <c r="U129" s="99">
        <v>-8950.8700000000008</v>
      </c>
      <c r="V129" s="99">
        <v>26000</v>
      </c>
      <c r="W129" s="100">
        <v>-13782.81</v>
      </c>
      <c r="X129" s="101">
        <v>26000</v>
      </c>
      <c r="Y129" s="102">
        <v>-15748.23</v>
      </c>
      <c r="Z129" s="132">
        <v>26000</v>
      </c>
      <c r="AA129" s="133">
        <v>-31077.51</v>
      </c>
      <c r="AB129" s="132">
        <v>26000</v>
      </c>
      <c r="AC129" s="133">
        <v>-31077.51</v>
      </c>
      <c r="AD129" s="132">
        <v>24000</v>
      </c>
      <c r="AE129" s="133">
        <v>-27788.09</v>
      </c>
      <c r="AF129" s="132">
        <v>24000</v>
      </c>
      <c r="AG129" s="134">
        <v>-3420.33</v>
      </c>
      <c r="AH129" s="669">
        <v>34000</v>
      </c>
      <c r="AI129" s="669">
        <v>34000</v>
      </c>
      <c r="AJ129" s="1059">
        <v>29000</v>
      </c>
      <c r="AK129" s="838" t="s">
        <v>495</v>
      </c>
      <c r="AM129" s="106"/>
      <c r="AN129" s="106"/>
    </row>
    <row r="130" spans="1:1026" s="902" customFormat="1">
      <c r="A130" s="1011">
        <v>5</v>
      </c>
      <c r="B130" s="883" t="s">
        <v>16</v>
      </c>
      <c r="C130" s="883">
        <v>1</v>
      </c>
      <c r="D130" s="883" t="s">
        <v>16</v>
      </c>
      <c r="E130" s="884" t="s">
        <v>155</v>
      </c>
      <c r="F130" s="883" t="s">
        <v>16</v>
      </c>
      <c r="G130" s="885" t="s">
        <v>73</v>
      </c>
      <c r="H130" s="886" t="s">
        <v>158</v>
      </c>
      <c r="I130" s="992"/>
      <c r="J130" s="927"/>
      <c r="K130" s="926">
        <v>5000</v>
      </c>
      <c r="L130" s="927">
        <v>0</v>
      </c>
      <c r="M130" s="926">
        <v>1000</v>
      </c>
      <c r="N130" s="927">
        <v>0</v>
      </c>
      <c r="O130" s="929">
        <v>5000</v>
      </c>
      <c r="P130" s="927">
        <v>0</v>
      </c>
      <c r="Q130" s="929">
        <v>3000</v>
      </c>
      <c r="R130" s="927">
        <v>0</v>
      </c>
      <c r="S130" s="931">
        <v>5000</v>
      </c>
      <c r="T130" s="931">
        <v>5000</v>
      </c>
      <c r="U130" s="931">
        <v>0</v>
      </c>
      <c r="V130" s="931">
        <v>2500</v>
      </c>
      <c r="W130" s="932">
        <v>-200</v>
      </c>
      <c r="X130" s="933">
        <v>5000</v>
      </c>
      <c r="Y130" s="934">
        <v>0</v>
      </c>
      <c r="Z130" s="940">
        <v>5000</v>
      </c>
      <c r="AA130" s="939">
        <v>-5056.3599999999997</v>
      </c>
      <c r="AB130" s="940">
        <v>5000</v>
      </c>
      <c r="AC130" s="939">
        <v>-5056.3599999999997</v>
      </c>
      <c r="AD130" s="940">
        <v>5000</v>
      </c>
      <c r="AE130" s="939">
        <v>-5464.71</v>
      </c>
      <c r="AF130" s="940">
        <v>5000</v>
      </c>
      <c r="AG130" s="941">
        <v>-618.13</v>
      </c>
      <c r="AH130" s="940">
        <v>3000</v>
      </c>
      <c r="AI130" s="940">
        <v>5000</v>
      </c>
      <c r="AJ130" s="1059">
        <v>3000</v>
      </c>
      <c r="AK130" s="1043" t="s">
        <v>495</v>
      </c>
      <c r="AL130" s="1044"/>
      <c r="AM130" s="1045"/>
      <c r="AN130" s="1045"/>
      <c r="AO130" s="1046"/>
      <c r="AP130" s="1046"/>
      <c r="AQ130" s="901"/>
      <c r="AR130" s="901"/>
      <c r="AS130" s="901"/>
      <c r="AT130" s="901"/>
      <c r="AU130" s="901"/>
      <c r="AV130" s="901"/>
      <c r="AW130" s="901"/>
      <c r="AX130" s="901"/>
      <c r="AY130" s="901"/>
      <c r="AZ130" s="901"/>
      <c r="BA130" s="901"/>
      <c r="BB130" s="901"/>
      <c r="BC130" s="901"/>
      <c r="BD130" s="901"/>
      <c r="BE130" s="901"/>
      <c r="BF130" s="901"/>
      <c r="BG130" s="901"/>
      <c r="BH130" s="901"/>
      <c r="BI130" s="901"/>
      <c r="BJ130" s="901"/>
      <c r="BK130" s="901"/>
      <c r="BL130" s="901"/>
      <c r="BM130" s="901"/>
      <c r="BN130" s="901"/>
      <c r="BO130" s="901"/>
      <c r="BP130" s="901"/>
      <c r="BQ130" s="901"/>
      <c r="BR130" s="901"/>
      <c r="BS130" s="901"/>
      <c r="BT130" s="901"/>
      <c r="BU130" s="901"/>
      <c r="BV130" s="901"/>
      <c r="BW130" s="901"/>
      <c r="BX130" s="901"/>
      <c r="BY130" s="901"/>
      <c r="BZ130" s="901"/>
      <c r="CA130" s="901"/>
      <c r="CB130" s="901"/>
      <c r="CC130" s="901"/>
      <c r="CD130" s="901"/>
      <c r="CE130" s="901"/>
      <c r="CF130" s="901"/>
      <c r="CG130" s="901"/>
      <c r="CH130" s="901"/>
      <c r="CI130" s="901"/>
      <c r="CJ130" s="901"/>
      <c r="CK130" s="901"/>
      <c r="CL130" s="901"/>
      <c r="CM130" s="901"/>
      <c r="CN130" s="901"/>
      <c r="CO130" s="901"/>
      <c r="CP130" s="901"/>
      <c r="CQ130" s="901"/>
      <c r="CR130" s="901"/>
      <c r="CS130" s="901"/>
      <c r="CT130" s="901"/>
      <c r="CU130" s="901"/>
      <c r="CV130" s="901"/>
      <c r="CW130" s="901"/>
      <c r="CX130" s="901"/>
      <c r="CY130" s="901"/>
      <c r="CZ130" s="901"/>
      <c r="DA130" s="901"/>
      <c r="DB130" s="901"/>
      <c r="DC130" s="901"/>
      <c r="DD130" s="901"/>
      <c r="DE130" s="901"/>
      <c r="DF130" s="901"/>
      <c r="DG130" s="901"/>
      <c r="DH130" s="901"/>
      <c r="DI130" s="901"/>
      <c r="DJ130" s="901"/>
      <c r="DK130" s="901"/>
      <c r="DL130" s="901"/>
      <c r="DM130" s="901"/>
      <c r="DN130" s="901"/>
      <c r="DO130" s="901"/>
      <c r="DP130" s="901"/>
      <c r="DQ130" s="901"/>
      <c r="DR130" s="901"/>
      <c r="DS130" s="901"/>
      <c r="DT130" s="901"/>
      <c r="DU130" s="901"/>
      <c r="DV130" s="901"/>
      <c r="DW130" s="901"/>
      <c r="DX130" s="901"/>
      <c r="DY130" s="901"/>
      <c r="DZ130" s="901"/>
      <c r="EA130" s="901"/>
      <c r="EB130" s="901"/>
      <c r="EC130" s="901"/>
      <c r="ED130" s="901"/>
      <c r="EE130" s="901"/>
      <c r="EF130" s="901"/>
      <c r="EG130" s="901"/>
      <c r="EH130" s="901"/>
      <c r="EI130" s="901"/>
      <c r="EJ130" s="901"/>
      <c r="EK130" s="901"/>
      <c r="EL130" s="901"/>
      <c r="EM130" s="901"/>
      <c r="EN130" s="901"/>
      <c r="EO130" s="901"/>
      <c r="EP130" s="901"/>
      <c r="EQ130" s="901"/>
      <c r="ER130" s="901"/>
      <c r="ES130" s="901"/>
      <c r="ET130" s="901"/>
      <c r="EU130" s="901"/>
      <c r="EV130" s="901"/>
      <c r="EW130" s="901"/>
      <c r="EX130" s="901"/>
      <c r="EY130" s="901"/>
      <c r="EZ130" s="901"/>
      <c r="FA130" s="901"/>
      <c r="FB130" s="901"/>
      <c r="FC130" s="901"/>
      <c r="FD130" s="901"/>
      <c r="FE130" s="901"/>
      <c r="FF130" s="901"/>
      <c r="FG130" s="901"/>
      <c r="FH130" s="901"/>
      <c r="FI130" s="901"/>
      <c r="FJ130" s="901"/>
      <c r="FK130" s="901"/>
      <c r="FL130" s="901"/>
      <c r="FM130" s="901"/>
      <c r="FN130" s="901"/>
      <c r="FO130" s="901"/>
      <c r="FP130" s="901"/>
      <c r="FQ130" s="901"/>
      <c r="FR130" s="901"/>
      <c r="FS130" s="901"/>
      <c r="FT130" s="901"/>
      <c r="FU130" s="901"/>
      <c r="FV130" s="901"/>
      <c r="FW130" s="901"/>
      <c r="FX130" s="901"/>
      <c r="FY130" s="901"/>
      <c r="FZ130" s="901"/>
      <c r="GA130" s="901"/>
      <c r="GB130" s="901"/>
      <c r="GC130" s="901"/>
      <c r="GD130" s="901"/>
      <c r="GE130" s="901"/>
      <c r="GF130" s="901"/>
      <c r="GG130" s="901"/>
      <c r="GH130" s="901"/>
      <c r="GI130" s="901"/>
      <c r="GJ130" s="901"/>
      <c r="GK130" s="901"/>
      <c r="GL130" s="901"/>
      <c r="GM130" s="901"/>
      <c r="GN130" s="901"/>
      <c r="GO130" s="901"/>
      <c r="GP130" s="901"/>
      <c r="GQ130" s="901"/>
      <c r="GR130" s="901"/>
      <c r="GS130" s="901"/>
      <c r="GT130" s="901"/>
      <c r="GU130" s="901"/>
      <c r="GV130" s="901"/>
      <c r="GW130" s="901"/>
      <c r="GX130" s="901"/>
      <c r="GY130" s="901"/>
      <c r="GZ130" s="901"/>
      <c r="HA130" s="901"/>
      <c r="HB130" s="901"/>
      <c r="HC130" s="901"/>
      <c r="HD130" s="901"/>
      <c r="HE130" s="901"/>
      <c r="HF130" s="901"/>
      <c r="HG130" s="901"/>
      <c r="HH130" s="901"/>
      <c r="HI130" s="901"/>
      <c r="HJ130" s="901"/>
      <c r="HK130" s="901"/>
      <c r="HL130" s="901"/>
      <c r="HM130" s="901"/>
      <c r="HN130" s="901"/>
      <c r="HO130" s="901"/>
      <c r="HP130" s="901"/>
      <c r="HQ130" s="901"/>
      <c r="HR130" s="901"/>
      <c r="HS130" s="901"/>
      <c r="HT130" s="901"/>
      <c r="HU130" s="901"/>
      <c r="HV130" s="901"/>
      <c r="HW130" s="901"/>
      <c r="HX130" s="901"/>
      <c r="HY130" s="901"/>
      <c r="HZ130" s="901"/>
      <c r="IA130" s="901"/>
      <c r="IB130" s="901"/>
      <c r="IC130" s="901"/>
      <c r="ID130" s="901"/>
      <c r="IE130" s="901"/>
      <c r="IF130" s="901"/>
      <c r="IG130" s="901"/>
      <c r="IH130" s="901"/>
      <c r="II130" s="901"/>
      <c r="IJ130" s="901"/>
      <c r="IK130" s="901"/>
      <c r="IL130" s="901"/>
      <c r="IM130" s="901"/>
      <c r="IN130" s="901"/>
      <c r="IO130" s="901"/>
      <c r="IP130" s="901"/>
      <c r="IQ130" s="901"/>
      <c r="IR130" s="901"/>
      <c r="IS130" s="901"/>
      <c r="IT130" s="901"/>
      <c r="IU130" s="901"/>
      <c r="IV130" s="901"/>
      <c r="IW130" s="901"/>
      <c r="IX130" s="901"/>
      <c r="IY130" s="901"/>
      <c r="IZ130" s="901"/>
      <c r="JA130" s="901"/>
      <c r="JB130" s="901"/>
      <c r="JC130" s="901"/>
      <c r="JD130" s="901"/>
      <c r="JE130" s="901"/>
      <c r="JF130" s="901"/>
      <c r="JG130" s="901"/>
      <c r="JH130" s="901"/>
      <c r="JI130" s="901"/>
      <c r="JJ130" s="901"/>
      <c r="JK130" s="901"/>
      <c r="JL130" s="901"/>
      <c r="JM130" s="901"/>
      <c r="JN130" s="901"/>
      <c r="JO130" s="901"/>
      <c r="JP130" s="901"/>
      <c r="JQ130" s="901"/>
      <c r="JR130" s="901"/>
      <c r="JS130" s="901"/>
      <c r="JT130" s="901"/>
      <c r="JU130" s="901"/>
      <c r="JV130" s="901"/>
      <c r="JW130" s="901"/>
      <c r="JX130" s="901"/>
      <c r="JY130" s="901"/>
      <c r="JZ130" s="901"/>
      <c r="KA130" s="901"/>
      <c r="KB130" s="901"/>
      <c r="KC130" s="901"/>
      <c r="KD130" s="901"/>
      <c r="KE130" s="901"/>
      <c r="KF130" s="901"/>
      <c r="KG130" s="901"/>
      <c r="KH130" s="901"/>
      <c r="KI130" s="901"/>
      <c r="KJ130" s="901"/>
      <c r="KK130" s="901"/>
      <c r="KL130" s="901"/>
      <c r="KM130" s="901"/>
      <c r="KN130" s="901"/>
      <c r="KO130" s="901"/>
      <c r="KP130" s="901"/>
      <c r="KQ130" s="901"/>
      <c r="KR130" s="901"/>
      <c r="KS130" s="901"/>
      <c r="KT130" s="901"/>
      <c r="KU130" s="901"/>
      <c r="KV130" s="901"/>
      <c r="KW130" s="901"/>
      <c r="KX130" s="901"/>
      <c r="KY130" s="901"/>
      <c r="KZ130" s="901"/>
      <c r="LA130" s="901"/>
      <c r="LB130" s="901"/>
      <c r="LC130" s="901"/>
      <c r="LD130" s="901"/>
      <c r="LE130" s="901"/>
      <c r="LF130" s="901"/>
      <c r="LG130" s="901"/>
      <c r="LH130" s="901"/>
      <c r="LI130" s="901"/>
      <c r="LJ130" s="901"/>
      <c r="LK130" s="901"/>
      <c r="LL130" s="901"/>
      <c r="LM130" s="901"/>
      <c r="LN130" s="901"/>
      <c r="LO130" s="901"/>
      <c r="LP130" s="901"/>
      <c r="LQ130" s="901"/>
      <c r="LR130" s="901"/>
      <c r="LS130" s="901"/>
      <c r="LT130" s="901"/>
      <c r="LU130" s="901"/>
      <c r="LV130" s="901"/>
      <c r="LW130" s="901"/>
      <c r="LX130" s="901"/>
      <c r="LY130" s="901"/>
      <c r="LZ130" s="901"/>
      <c r="MA130" s="901"/>
      <c r="MB130" s="901"/>
      <c r="MC130" s="901"/>
      <c r="MD130" s="901"/>
      <c r="ME130" s="901"/>
      <c r="MF130" s="901"/>
      <c r="MG130" s="901"/>
      <c r="MH130" s="901"/>
      <c r="MI130" s="901"/>
      <c r="MJ130" s="901"/>
      <c r="MK130" s="901"/>
      <c r="ML130" s="901"/>
      <c r="MM130" s="901"/>
      <c r="MN130" s="901"/>
      <c r="MO130" s="901"/>
      <c r="MP130" s="901"/>
      <c r="MQ130" s="901"/>
      <c r="MR130" s="901"/>
      <c r="MS130" s="901"/>
      <c r="MT130" s="901"/>
      <c r="MU130" s="901"/>
      <c r="MV130" s="901"/>
      <c r="MW130" s="901"/>
      <c r="MX130" s="901"/>
      <c r="MY130" s="901"/>
      <c r="MZ130" s="901"/>
      <c r="NA130" s="901"/>
      <c r="NB130" s="901"/>
      <c r="NC130" s="901"/>
      <c r="ND130" s="901"/>
      <c r="NE130" s="901"/>
      <c r="NF130" s="901"/>
      <c r="NG130" s="901"/>
      <c r="NH130" s="901"/>
      <c r="NI130" s="901"/>
      <c r="NJ130" s="901"/>
      <c r="NK130" s="901"/>
      <c r="NL130" s="901"/>
      <c r="NM130" s="901"/>
      <c r="NN130" s="901"/>
      <c r="NO130" s="901"/>
      <c r="NP130" s="901"/>
      <c r="NQ130" s="901"/>
      <c r="NR130" s="901"/>
      <c r="NS130" s="901"/>
      <c r="NT130" s="901"/>
      <c r="NU130" s="901"/>
      <c r="NV130" s="901"/>
      <c r="NW130" s="901"/>
      <c r="NX130" s="901"/>
      <c r="NY130" s="901"/>
      <c r="NZ130" s="901"/>
      <c r="OA130" s="901"/>
      <c r="OB130" s="901"/>
      <c r="OC130" s="901"/>
      <c r="OD130" s="901"/>
      <c r="OE130" s="901"/>
      <c r="OF130" s="901"/>
      <c r="OG130" s="901"/>
      <c r="OH130" s="901"/>
      <c r="OI130" s="901"/>
      <c r="OJ130" s="901"/>
      <c r="OK130" s="901"/>
      <c r="OL130" s="901"/>
      <c r="OM130" s="901"/>
      <c r="ON130" s="901"/>
      <c r="OO130" s="901"/>
      <c r="OP130" s="901"/>
      <c r="OQ130" s="901"/>
      <c r="OR130" s="901"/>
      <c r="OS130" s="901"/>
      <c r="OT130" s="901"/>
      <c r="OU130" s="901"/>
      <c r="OV130" s="901"/>
      <c r="OW130" s="901"/>
      <c r="OX130" s="901"/>
      <c r="OY130" s="901"/>
      <c r="OZ130" s="901"/>
      <c r="PA130" s="901"/>
      <c r="PB130" s="901"/>
      <c r="PC130" s="901"/>
      <c r="PD130" s="901"/>
      <c r="PE130" s="901"/>
      <c r="PF130" s="901"/>
      <c r="PG130" s="901"/>
      <c r="PH130" s="901"/>
      <c r="PI130" s="901"/>
      <c r="PJ130" s="901"/>
      <c r="PK130" s="901"/>
      <c r="PL130" s="901"/>
      <c r="PM130" s="901"/>
      <c r="PN130" s="901"/>
      <c r="PO130" s="901"/>
      <c r="PP130" s="901"/>
      <c r="PQ130" s="901"/>
      <c r="PR130" s="901"/>
      <c r="PS130" s="901"/>
      <c r="PT130" s="901"/>
      <c r="PU130" s="901"/>
      <c r="PV130" s="901"/>
      <c r="PW130" s="901"/>
      <c r="PX130" s="901"/>
      <c r="PY130" s="901"/>
      <c r="PZ130" s="901"/>
      <c r="QA130" s="901"/>
      <c r="QB130" s="901"/>
      <c r="QC130" s="901"/>
      <c r="QD130" s="901"/>
      <c r="QE130" s="901"/>
      <c r="QF130" s="901"/>
      <c r="QG130" s="901"/>
      <c r="QH130" s="901"/>
      <c r="QI130" s="901"/>
      <c r="QJ130" s="901"/>
      <c r="QK130" s="901"/>
      <c r="QL130" s="901"/>
      <c r="QM130" s="901"/>
      <c r="QN130" s="901"/>
      <c r="QO130" s="901"/>
      <c r="QP130" s="901"/>
      <c r="QQ130" s="901"/>
      <c r="QR130" s="901"/>
      <c r="QS130" s="901"/>
      <c r="QT130" s="901"/>
      <c r="QU130" s="901"/>
      <c r="QV130" s="901"/>
      <c r="QW130" s="901"/>
      <c r="QX130" s="901"/>
      <c r="QY130" s="901"/>
      <c r="QZ130" s="901"/>
      <c r="RA130" s="901"/>
      <c r="RB130" s="901"/>
      <c r="RC130" s="901"/>
      <c r="RD130" s="901"/>
      <c r="RE130" s="901"/>
      <c r="RF130" s="901"/>
      <c r="RG130" s="901"/>
      <c r="RH130" s="901"/>
      <c r="RI130" s="901"/>
      <c r="RJ130" s="901"/>
      <c r="RK130" s="901"/>
      <c r="RL130" s="901"/>
      <c r="RM130" s="901"/>
      <c r="RN130" s="901"/>
      <c r="RO130" s="901"/>
      <c r="RP130" s="901"/>
      <c r="RQ130" s="901"/>
      <c r="RR130" s="901"/>
      <c r="RS130" s="901"/>
      <c r="RT130" s="901"/>
      <c r="RU130" s="901"/>
      <c r="RV130" s="901"/>
      <c r="RW130" s="901"/>
      <c r="RX130" s="901"/>
      <c r="RY130" s="901"/>
      <c r="RZ130" s="901"/>
      <c r="SA130" s="901"/>
      <c r="SB130" s="901"/>
      <c r="SC130" s="901"/>
      <c r="SD130" s="901"/>
      <c r="SE130" s="901"/>
      <c r="SF130" s="901"/>
      <c r="SG130" s="901"/>
      <c r="SH130" s="901"/>
      <c r="SI130" s="901"/>
      <c r="SJ130" s="901"/>
      <c r="SK130" s="901"/>
      <c r="SL130" s="901"/>
      <c r="SM130" s="901"/>
      <c r="SN130" s="901"/>
      <c r="SO130" s="901"/>
      <c r="SP130" s="901"/>
      <c r="SQ130" s="901"/>
      <c r="SR130" s="901"/>
      <c r="SS130" s="901"/>
      <c r="ST130" s="901"/>
      <c r="SU130" s="901"/>
      <c r="SV130" s="901"/>
      <c r="SW130" s="901"/>
      <c r="SX130" s="901"/>
      <c r="SY130" s="901"/>
      <c r="SZ130" s="901"/>
      <c r="TA130" s="901"/>
      <c r="TB130" s="901"/>
      <c r="TC130" s="901"/>
      <c r="TD130" s="901"/>
      <c r="TE130" s="901"/>
      <c r="TF130" s="901"/>
      <c r="TG130" s="901"/>
      <c r="TH130" s="901"/>
      <c r="TI130" s="901"/>
      <c r="TJ130" s="901"/>
      <c r="TK130" s="901"/>
      <c r="TL130" s="901"/>
      <c r="TM130" s="901"/>
      <c r="TN130" s="901"/>
      <c r="TO130" s="901"/>
      <c r="TP130" s="901"/>
      <c r="TQ130" s="901"/>
      <c r="TR130" s="901"/>
      <c r="TS130" s="901"/>
      <c r="TT130" s="901"/>
      <c r="TU130" s="901"/>
      <c r="TV130" s="901"/>
      <c r="TW130" s="901"/>
      <c r="TX130" s="901"/>
      <c r="TY130" s="901"/>
      <c r="TZ130" s="901"/>
      <c r="UA130" s="901"/>
      <c r="UB130" s="901"/>
      <c r="UC130" s="901"/>
      <c r="UD130" s="901"/>
      <c r="UE130" s="901"/>
      <c r="UF130" s="901"/>
      <c r="UG130" s="901"/>
      <c r="UH130" s="901"/>
      <c r="UI130" s="901"/>
      <c r="UJ130" s="901"/>
      <c r="UK130" s="901"/>
      <c r="UL130" s="901"/>
      <c r="UM130" s="901"/>
      <c r="UN130" s="901"/>
      <c r="UO130" s="901"/>
      <c r="UP130" s="901"/>
      <c r="UQ130" s="901"/>
      <c r="UR130" s="901"/>
      <c r="US130" s="901"/>
      <c r="UT130" s="901"/>
      <c r="UU130" s="901"/>
      <c r="UV130" s="901"/>
      <c r="UW130" s="901"/>
      <c r="UX130" s="901"/>
      <c r="UY130" s="901"/>
      <c r="UZ130" s="901"/>
      <c r="VA130" s="901"/>
      <c r="VB130" s="901"/>
      <c r="VC130" s="901"/>
      <c r="VD130" s="901"/>
      <c r="VE130" s="901"/>
      <c r="VF130" s="901"/>
      <c r="VG130" s="901"/>
      <c r="VH130" s="901"/>
      <c r="VI130" s="901"/>
      <c r="VJ130" s="901"/>
      <c r="VK130" s="901"/>
      <c r="VL130" s="901"/>
      <c r="VM130" s="901"/>
      <c r="VN130" s="901"/>
      <c r="VO130" s="901"/>
      <c r="VP130" s="901"/>
      <c r="VQ130" s="901"/>
      <c r="VR130" s="901"/>
      <c r="VS130" s="901"/>
      <c r="VT130" s="901"/>
      <c r="VU130" s="901"/>
      <c r="VV130" s="901"/>
      <c r="VW130" s="901"/>
      <c r="VX130" s="901"/>
      <c r="VY130" s="901"/>
      <c r="VZ130" s="901"/>
      <c r="WA130" s="901"/>
      <c r="WB130" s="901"/>
      <c r="WC130" s="901"/>
      <c r="WD130" s="901"/>
      <c r="WE130" s="901"/>
      <c r="WF130" s="901"/>
      <c r="WG130" s="901"/>
      <c r="WH130" s="901"/>
      <c r="WI130" s="901"/>
      <c r="WJ130" s="901"/>
      <c r="WK130" s="901"/>
      <c r="WL130" s="901"/>
      <c r="WM130" s="901"/>
      <c r="WN130" s="901"/>
      <c r="WO130" s="901"/>
      <c r="WP130" s="901"/>
      <c r="WQ130" s="901"/>
      <c r="WR130" s="901"/>
      <c r="WS130" s="901"/>
      <c r="WT130" s="901"/>
      <c r="WU130" s="901"/>
      <c r="WV130" s="901"/>
      <c r="WW130" s="901"/>
      <c r="WX130" s="901"/>
      <c r="WY130" s="901"/>
      <c r="WZ130" s="901"/>
      <c r="XA130" s="901"/>
      <c r="XB130" s="901"/>
      <c r="XC130" s="901"/>
      <c r="XD130" s="901"/>
      <c r="XE130" s="901"/>
      <c r="XF130" s="901"/>
      <c r="XG130" s="901"/>
      <c r="XH130" s="901"/>
      <c r="XI130" s="901"/>
      <c r="XJ130" s="901"/>
      <c r="XK130" s="901"/>
      <c r="XL130" s="901"/>
      <c r="XM130" s="901"/>
      <c r="XN130" s="901"/>
      <c r="XO130" s="901"/>
      <c r="XP130" s="901"/>
      <c r="XQ130" s="901"/>
      <c r="XR130" s="901"/>
      <c r="XS130" s="901"/>
      <c r="XT130" s="901"/>
      <c r="XU130" s="901"/>
      <c r="XV130" s="901"/>
      <c r="XW130" s="901"/>
      <c r="XX130" s="901"/>
      <c r="XY130" s="901"/>
      <c r="XZ130" s="901"/>
      <c r="YA130" s="901"/>
      <c r="YB130" s="901"/>
      <c r="YC130" s="901"/>
      <c r="YD130" s="901"/>
      <c r="YE130" s="901"/>
      <c r="YF130" s="901"/>
      <c r="YG130" s="901"/>
      <c r="YH130" s="901"/>
      <c r="YI130" s="901"/>
      <c r="YJ130" s="901"/>
      <c r="YK130" s="901"/>
      <c r="YL130" s="901"/>
      <c r="YM130" s="901"/>
      <c r="YN130" s="901"/>
      <c r="YO130" s="901"/>
      <c r="YP130" s="901"/>
      <c r="YQ130" s="901"/>
      <c r="YR130" s="901"/>
      <c r="YS130" s="901"/>
      <c r="YT130" s="901"/>
      <c r="YU130" s="901"/>
      <c r="YV130" s="901"/>
      <c r="YW130" s="901"/>
      <c r="YX130" s="901"/>
      <c r="YY130" s="901"/>
      <c r="YZ130" s="901"/>
      <c r="ZA130" s="901"/>
      <c r="ZB130" s="901"/>
      <c r="ZC130" s="901"/>
      <c r="ZD130" s="901"/>
      <c r="ZE130" s="901"/>
      <c r="ZF130" s="901"/>
      <c r="ZG130" s="901"/>
      <c r="ZH130" s="901"/>
      <c r="ZI130" s="901"/>
      <c r="ZJ130" s="901"/>
      <c r="ZK130" s="901"/>
      <c r="ZL130" s="901"/>
      <c r="ZM130" s="901"/>
      <c r="ZN130" s="901"/>
      <c r="ZO130" s="901"/>
      <c r="ZP130" s="901"/>
      <c r="ZQ130" s="901"/>
      <c r="ZR130" s="901"/>
      <c r="ZS130" s="901"/>
      <c r="ZT130" s="901"/>
      <c r="ZU130" s="901"/>
      <c r="ZV130" s="901"/>
      <c r="ZW130" s="901"/>
      <c r="ZX130" s="901"/>
      <c r="ZY130" s="901"/>
      <c r="ZZ130" s="901"/>
      <c r="AAA130" s="901"/>
      <c r="AAB130" s="901"/>
      <c r="AAC130" s="901"/>
      <c r="AAD130" s="901"/>
      <c r="AAE130" s="901"/>
      <c r="AAF130" s="901"/>
      <c r="AAG130" s="901"/>
      <c r="AAH130" s="901"/>
      <c r="AAI130" s="901"/>
      <c r="AAJ130" s="901"/>
      <c r="AAK130" s="901"/>
      <c r="AAL130" s="901"/>
      <c r="AAM130" s="901"/>
      <c r="AAN130" s="901"/>
      <c r="AAO130" s="901"/>
      <c r="AAP130" s="901"/>
      <c r="AAQ130" s="901"/>
      <c r="AAR130" s="901"/>
      <c r="AAS130" s="901"/>
      <c r="AAT130" s="901"/>
      <c r="AAU130" s="901"/>
      <c r="AAV130" s="901"/>
      <c r="AAW130" s="901"/>
      <c r="AAX130" s="901"/>
      <c r="AAY130" s="901"/>
      <c r="AAZ130" s="901"/>
      <c r="ABA130" s="901"/>
      <c r="ABB130" s="901"/>
      <c r="ABC130" s="901"/>
      <c r="ABD130" s="901"/>
      <c r="ABE130" s="901"/>
      <c r="ABF130" s="901"/>
      <c r="ABG130" s="901"/>
      <c r="ABH130" s="901"/>
      <c r="ABI130" s="901"/>
      <c r="ABJ130" s="901"/>
      <c r="ABK130" s="901"/>
      <c r="ABL130" s="901"/>
      <c r="ABM130" s="901"/>
      <c r="ABN130" s="901"/>
      <c r="ABO130" s="901"/>
      <c r="ABP130" s="901"/>
      <c r="ABQ130" s="901"/>
      <c r="ABR130" s="901"/>
      <c r="ABS130" s="901"/>
      <c r="ABT130" s="901"/>
      <c r="ABU130" s="901"/>
      <c r="ABV130" s="901"/>
      <c r="ABW130" s="901"/>
      <c r="ABX130" s="901"/>
      <c r="ABY130" s="901"/>
      <c r="ABZ130" s="901"/>
      <c r="ACA130" s="901"/>
      <c r="ACB130" s="901"/>
      <c r="ACC130" s="901"/>
      <c r="ACD130" s="901"/>
      <c r="ACE130" s="901"/>
      <c r="ACF130" s="901"/>
      <c r="ACG130" s="901"/>
      <c r="ACH130" s="901"/>
      <c r="ACI130" s="901"/>
      <c r="ACJ130" s="901"/>
      <c r="ACK130" s="901"/>
      <c r="ACL130" s="901"/>
      <c r="ACM130" s="901"/>
      <c r="ACN130" s="901"/>
      <c r="ACO130" s="901"/>
      <c r="ACP130" s="901"/>
      <c r="ACQ130" s="901"/>
      <c r="ACR130" s="901"/>
      <c r="ACS130" s="901"/>
      <c r="ACT130" s="901"/>
      <c r="ACU130" s="901"/>
      <c r="ACV130" s="901"/>
      <c r="ACW130" s="901"/>
      <c r="ACX130" s="901"/>
      <c r="ACY130" s="901"/>
      <c r="ACZ130" s="901"/>
      <c r="ADA130" s="901"/>
      <c r="ADB130" s="901"/>
      <c r="ADC130" s="901"/>
      <c r="ADD130" s="901"/>
      <c r="ADE130" s="901"/>
      <c r="ADF130" s="901"/>
      <c r="ADG130" s="901"/>
      <c r="ADH130" s="901"/>
      <c r="ADI130" s="901"/>
      <c r="ADJ130" s="901"/>
      <c r="ADK130" s="901"/>
      <c r="ADL130" s="901"/>
      <c r="ADM130" s="901"/>
      <c r="ADN130" s="901"/>
      <c r="ADO130" s="901"/>
      <c r="ADP130" s="901"/>
      <c r="ADQ130" s="901"/>
      <c r="ADR130" s="901"/>
      <c r="ADS130" s="901"/>
      <c r="ADT130" s="901"/>
      <c r="ADU130" s="901"/>
      <c r="ADV130" s="901"/>
      <c r="ADW130" s="901"/>
      <c r="ADX130" s="901"/>
      <c r="ADY130" s="901"/>
      <c r="ADZ130" s="901"/>
      <c r="AEA130" s="901"/>
      <c r="AEB130" s="901"/>
      <c r="AEC130" s="901"/>
      <c r="AED130" s="901"/>
      <c r="AEE130" s="901"/>
      <c r="AEF130" s="901"/>
      <c r="AEG130" s="901"/>
      <c r="AEH130" s="901"/>
      <c r="AEI130" s="901"/>
      <c r="AEJ130" s="901"/>
      <c r="AEK130" s="901"/>
      <c r="AEL130" s="901"/>
      <c r="AEM130" s="901"/>
      <c r="AEN130" s="901"/>
      <c r="AEO130" s="901"/>
      <c r="AEP130" s="901"/>
      <c r="AEQ130" s="901"/>
      <c r="AER130" s="901"/>
      <c r="AES130" s="901"/>
      <c r="AET130" s="901"/>
      <c r="AEU130" s="901"/>
      <c r="AEV130" s="901"/>
      <c r="AEW130" s="901"/>
      <c r="AEX130" s="901"/>
      <c r="AEY130" s="901"/>
      <c r="AEZ130" s="901"/>
      <c r="AFA130" s="901"/>
      <c r="AFB130" s="901"/>
      <c r="AFC130" s="901"/>
      <c r="AFD130" s="901"/>
      <c r="AFE130" s="901"/>
      <c r="AFF130" s="901"/>
      <c r="AFG130" s="901"/>
      <c r="AFH130" s="901"/>
      <c r="AFI130" s="901"/>
      <c r="AFJ130" s="901"/>
      <c r="AFK130" s="901"/>
      <c r="AFL130" s="901"/>
      <c r="AFM130" s="901"/>
      <c r="AFN130" s="901"/>
      <c r="AFO130" s="901"/>
      <c r="AFP130" s="901"/>
      <c r="AFQ130" s="901"/>
      <c r="AFR130" s="901"/>
      <c r="AFS130" s="901"/>
      <c r="AFT130" s="901"/>
      <c r="AFU130" s="901"/>
      <c r="AFV130" s="901"/>
      <c r="AFW130" s="901"/>
      <c r="AFX130" s="901"/>
      <c r="AFY130" s="901"/>
      <c r="AFZ130" s="901"/>
      <c r="AGA130" s="901"/>
      <c r="AGB130" s="901"/>
      <c r="AGC130" s="901"/>
      <c r="AGD130" s="901"/>
      <c r="AGE130" s="901"/>
      <c r="AGF130" s="901"/>
      <c r="AGG130" s="901"/>
      <c r="AGH130" s="901"/>
      <c r="AGI130" s="901"/>
      <c r="AGJ130" s="901"/>
      <c r="AGK130" s="901"/>
      <c r="AGL130" s="901"/>
      <c r="AGM130" s="901"/>
      <c r="AGN130" s="901"/>
      <c r="AGO130" s="901"/>
      <c r="AGP130" s="901"/>
      <c r="AGQ130" s="901"/>
      <c r="AGR130" s="901"/>
      <c r="AGS130" s="901"/>
      <c r="AGT130" s="901"/>
      <c r="AGU130" s="901"/>
      <c r="AGV130" s="901"/>
      <c r="AGW130" s="901"/>
      <c r="AGX130" s="901"/>
      <c r="AGY130" s="901"/>
      <c r="AGZ130" s="901"/>
      <c r="AHA130" s="901"/>
      <c r="AHB130" s="901"/>
      <c r="AHC130" s="901"/>
      <c r="AHD130" s="901"/>
      <c r="AHE130" s="901"/>
      <c r="AHF130" s="901"/>
      <c r="AHG130" s="901"/>
      <c r="AHH130" s="901"/>
      <c r="AHI130" s="901"/>
      <c r="AHJ130" s="901"/>
      <c r="AHK130" s="901"/>
      <c r="AHL130" s="901"/>
      <c r="AHM130" s="901"/>
      <c r="AHN130" s="901"/>
      <c r="AHO130" s="901"/>
      <c r="AHP130" s="901"/>
      <c r="AHQ130" s="901"/>
      <c r="AHR130" s="901"/>
      <c r="AHS130" s="901"/>
      <c r="AHT130" s="901"/>
      <c r="AHU130" s="901"/>
      <c r="AHV130" s="901"/>
      <c r="AHW130" s="901"/>
      <c r="AHX130" s="901"/>
      <c r="AHY130" s="901"/>
      <c r="AHZ130" s="901"/>
      <c r="AIA130" s="901"/>
      <c r="AIB130" s="901"/>
      <c r="AIC130" s="901"/>
      <c r="AID130" s="901"/>
      <c r="AIE130" s="901"/>
      <c r="AIF130" s="901"/>
      <c r="AIG130" s="901"/>
      <c r="AIH130" s="901"/>
      <c r="AII130" s="901"/>
      <c r="AIJ130" s="901"/>
      <c r="AIK130" s="901"/>
      <c r="AIL130" s="901"/>
      <c r="AIM130" s="901"/>
      <c r="AIN130" s="901"/>
      <c r="AIO130" s="901"/>
      <c r="AIP130" s="901"/>
      <c r="AIQ130" s="901"/>
      <c r="AIR130" s="901"/>
      <c r="AIS130" s="901"/>
      <c r="AIT130" s="901"/>
      <c r="AIU130" s="901"/>
      <c r="AIV130" s="901"/>
      <c r="AIW130" s="901"/>
      <c r="AIX130" s="901"/>
      <c r="AIY130" s="901"/>
      <c r="AIZ130" s="901"/>
      <c r="AJA130" s="901"/>
      <c r="AJB130" s="901"/>
      <c r="AJC130" s="901"/>
      <c r="AJD130" s="901"/>
      <c r="AJE130" s="901"/>
      <c r="AJF130" s="901"/>
      <c r="AJG130" s="901"/>
      <c r="AJH130" s="901"/>
      <c r="AJI130" s="901"/>
      <c r="AJJ130" s="901"/>
      <c r="AJK130" s="901"/>
      <c r="AJL130" s="901"/>
      <c r="AJM130" s="901"/>
      <c r="AJN130" s="901"/>
      <c r="AJO130" s="901"/>
      <c r="AJP130" s="901"/>
      <c r="AJQ130" s="901"/>
      <c r="AJR130" s="901"/>
      <c r="AJS130" s="901"/>
      <c r="AJT130" s="901"/>
      <c r="AJU130" s="901"/>
      <c r="AJV130" s="901"/>
      <c r="AJW130" s="901"/>
      <c r="AJX130" s="901"/>
      <c r="AJY130" s="901"/>
      <c r="AJZ130" s="901"/>
      <c r="AKA130" s="901"/>
      <c r="AKB130" s="901"/>
      <c r="AKC130" s="901"/>
      <c r="AKD130" s="901"/>
      <c r="AKE130" s="901"/>
      <c r="AKF130" s="901"/>
      <c r="AKG130" s="901"/>
      <c r="AKH130" s="901"/>
      <c r="AKI130" s="901"/>
      <c r="AKJ130" s="901"/>
      <c r="AKK130" s="901"/>
      <c r="AKL130" s="901"/>
      <c r="AKM130" s="901"/>
      <c r="AKN130" s="901"/>
      <c r="AKO130" s="901"/>
      <c r="AKP130" s="901"/>
      <c r="AKQ130" s="901"/>
      <c r="AKR130" s="901"/>
      <c r="AKS130" s="901"/>
      <c r="AKT130" s="901"/>
      <c r="AKU130" s="901"/>
      <c r="AKV130" s="901"/>
      <c r="AKW130" s="901"/>
      <c r="AKX130" s="901"/>
      <c r="AKY130" s="901"/>
      <c r="AKZ130" s="901"/>
      <c r="ALA130" s="901"/>
      <c r="ALB130" s="901"/>
      <c r="ALC130" s="901"/>
      <c r="ALD130" s="901"/>
      <c r="ALE130" s="901"/>
      <c r="ALF130" s="901"/>
      <c r="ALG130" s="901"/>
      <c r="ALH130" s="901"/>
      <c r="ALI130" s="901"/>
      <c r="ALJ130" s="901"/>
      <c r="ALK130" s="901"/>
      <c r="ALL130" s="901"/>
      <c r="ALM130" s="901"/>
      <c r="ALN130" s="901"/>
      <c r="ALO130" s="901"/>
      <c r="ALP130" s="901"/>
      <c r="ALQ130" s="901"/>
      <c r="ALR130" s="901"/>
      <c r="ALS130" s="901"/>
      <c r="ALT130" s="901"/>
      <c r="ALU130" s="901"/>
      <c r="ALV130" s="901"/>
      <c r="ALW130" s="901"/>
      <c r="ALX130" s="901"/>
      <c r="ALY130" s="901"/>
      <c r="ALZ130" s="901"/>
      <c r="AMA130" s="901"/>
      <c r="AMB130" s="901"/>
      <c r="AMC130" s="901"/>
      <c r="AMD130" s="901"/>
      <c r="AME130" s="901"/>
      <c r="AMF130" s="901"/>
      <c r="AMG130" s="901"/>
      <c r="AMH130" s="901"/>
      <c r="AMI130" s="901"/>
      <c r="AMJ130" s="901"/>
      <c r="AMK130" s="901"/>
      <c r="AML130" s="901"/>
    </row>
    <row r="131" spans="1:1026">
      <c r="A131" s="360">
        <v>5</v>
      </c>
      <c r="B131" s="14" t="s">
        <v>16</v>
      </c>
      <c r="C131" s="14">
        <v>1</v>
      </c>
      <c r="D131" s="14" t="s">
        <v>16</v>
      </c>
      <c r="E131" s="15" t="s">
        <v>155</v>
      </c>
      <c r="F131" s="14" t="s">
        <v>16</v>
      </c>
      <c r="G131" s="81" t="s">
        <v>77</v>
      </c>
      <c r="H131" s="251" t="s">
        <v>159</v>
      </c>
      <c r="I131" s="122"/>
      <c r="J131" s="95"/>
      <c r="K131" s="94"/>
      <c r="L131" s="95"/>
      <c r="M131" s="94"/>
      <c r="N131" s="95"/>
      <c r="O131" s="96"/>
      <c r="P131" s="95"/>
      <c r="Q131" s="96"/>
      <c r="R131" s="33"/>
      <c r="S131" s="99">
        <v>0</v>
      </c>
      <c r="T131" s="99">
        <v>0</v>
      </c>
      <c r="U131" s="99">
        <v>0</v>
      </c>
      <c r="V131" s="99"/>
      <c r="X131" s="101">
        <v>6000</v>
      </c>
      <c r="Y131" s="102">
        <v>-112.31</v>
      </c>
      <c r="Z131" s="132">
        <v>6000</v>
      </c>
      <c r="AA131" s="133">
        <v>-1501.89</v>
      </c>
      <c r="AB131" s="132">
        <v>6000</v>
      </c>
      <c r="AC131" s="133">
        <v>-1501.89</v>
      </c>
      <c r="AD131" s="132">
        <v>6000</v>
      </c>
      <c r="AE131" s="133">
        <v>-2245.89</v>
      </c>
      <c r="AF131" s="132">
        <v>6000</v>
      </c>
      <c r="AG131" s="134">
        <v>-158.04</v>
      </c>
      <c r="AH131" s="132">
        <v>6000</v>
      </c>
      <c r="AI131" s="132">
        <v>6000</v>
      </c>
      <c r="AJ131" s="1059">
        <v>5000</v>
      </c>
      <c r="AK131" s="1043" t="s">
        <v>495</v>
      </c>
      <c r="AL131" s="1044"/>
      <c r="AM131" s="1045"/>
      <c r="AN131" s="1045"/>
      <c r="AO131" s="1046"/>
      <c r="AP131" s="1046"/>
    </row>
    <row r="132" spans="1:1026" s="902" customFormat="1">
      <c r="A132" s="1011">
        <v>5</v>
      </c>
      <c r="B132" s="883" t="s">
        <v>16</v>
      </c>
      <c r="C132" s="883">
        <v>1</v>
      </c>
      <c r="D132" s="883" t="s">
        <v>16</v>
      </c>
      <c r="E132" s="884" t="s">
        <v>155</v>
      </c>
      <c r="F132" s="883" t="s">
        <v>16</v>
      </c>
      <c r="G132" s="885" t="s">
        <v>118</v>
      </c>
      <c r="H132" s="886" t="s">
        <v>430</v>
      </c>
      <c r="I132" s="992"/>
      <c r="J132" s="927"/>
      <c r="K132" s="926"/>
      <c r="L132" s="927"/>
      <c r="M132" s="926"/>
      <c r="N132" s="927"/>
      <c r="O132" s="929"/>
      <c r="P132" s="927"/>
      <c r="Q132" s="929"/>
      <c r="R132" s="1009"/>
      <c r="S132" s="931"/>
      <c r="T132" s="931"/>
      <c r="U132" s="931"/>
      <c r="V132" s="931"/>
      <c r="W132" s="1012"/>
      <c r="X132" s="933"/>
      <c r="Y132" s="934"/>
      <c r="Z132" s="940"/>
      <c r="AA132" s="1013"/>
      <c r="AB132" s="940"/>
      <c r="AC132" s="1013"/>
      <c r="AD132" s="940">
        <v>2000</v>
      </c>
      <c r="AE132" s="1013">
        <v>-6428.61</v>
      </c>
      <c r="AF132" s="940">
        <v>2000</v>
      </c>
      <c r="AG132" s="941"/>
      <c r="AH132" s="940">
        <v>17000</v>
      </c>
      <c r="AI132" s="940">
        <v>2000</v>
      </c>
      <c r="AJ132" s="940">
        <v>2000</v>
      </c>
      <c r="AK132" s="717" t="s">
        <v>520</v>
      </c>
      <c r="AL132" s="1044"/>
      <c r="AM132" s="1045"/>
      <c r="AN132" s="1045"/>
      <c r="AO132" s="1046"/>
      <c r="AP132" s="1046"/>
      <c r="AQ132" s="901"/>
      <c r="AR132" s="901"/>
      <c r="AS132" s="901"/>
      <c r="AT132" s="901"/>
      <c r="AU132" s="901"/>
      <c r="AV132" s="901"/>
      <c r="AW132" s="901"/>
      <c r="AX132" s="901"/>
      <c r="AY132" s="901"/>
      <c r="AZ132" s="901"/>
      <c r="BA132" s="901"/>
      <c r="BB132" s="901"/>
      <c r="BC132" s="901"/>
      <c r="BD132" s="901"/>
      <c r="BE132" s="901"/>
      <c r="BF132" s="901"/>
      <c r="BG132" s="901"/>
      <c r="BH132" s="901"/>
      <c r="BI132" s="901"/>
      <c r="BJ132" s="901"/>
      <c r="BK132" s="901"/>
      <c r="BL132" s="901"/>
      <c r="BM132" s="901"/>
      <c r="BN132" s="901"/>
      <c r="BO132" s="901"/>
      <c r="BP132" s="901"/>
      <c r="BQ132" s="901"/>
      <c r="BR132" s="901"/>
      <c r="BS132" s="901"/>
      <c r="BT132" s="901"/>
      <c r="BU132" s="901"/>
      <c r="BV132" s="901"/>
      <c r="BW132" s="901"/>
      <c r="BX132" s="901"/>
      <c r="BY132" s="901"/>
      <c r="BZ132" s="901"/>
      <c r="CA132" s="901"/>
      <c r="CB132" s="901"/>
      <c r="CC132" s="901"/>
      <c r="CD132" s="901"/>
      <c r="CE132" s="901"/>
      <c r="CF132" s="901"/>
      <c r="CG132" s="901"/>
      <c r="CH132" s="901"/>
      <c r="CI132" s="901"/>
      <c r="CJ132" s="901"/>
      <c r="CK132" s="901"/>
      <c r="CL132" s="901"/>
      <c r="CM132" s="901"/>
      <c r="CN132" s="901"/>
      <c r="CO132" s="901"/>
      <c r="CP132" s="901"/>
      <c r="CQ132" s="901"/>
      <c r="CR132" s="901"/>
      <c r="CS132" s="901"/>
      <c r="CT132" s="901"/>
      <c r="CU132" s="901"/>
      <c r="CV132" s="901"/>
      <c r="CW132" s="901"/>
      <c r="CX132" s="901"/>
      <c r="CY132" s="901"/>
      <c r="CZ132" s="901"/>
      <c r="DA132" s="901"/>
      <c r="DB132" s="901"/>
      <c r="DC132" s="901"/>
      <c r="DD132" s="901"/>
      <c r="DE132" s="901"/>
      <c r="DF132" s="901"/>
      <c r="DG132" s="901"/>
      <c r="DH132" s="901"/>
      <c r="DI132" s="901"/>
      <c r="DJ132" s="901"/>
      <c r="DK132" s="901"/>
      <c r="DL132" s="901"/>
      <c r="DM132" s="901"/>
      <c r="DN132" s="901"/>
      <c r="DO132" s="901"/>
      <c r="DP132" s="901"/>
      <c r="DQ132" s="901"/>
      <c r="DR132" s="901"/>
      <c r="DS132" s="901"/>
      <c r="DT132" s="901"/>
      <c r="DU132" s="901"/>
      <c r="DV132" s="901"/>
      <c r="DW132" s="901"/>
      <c r="DX132" s="901"/>
      <c r="DY132" s="901"/>
      <c r="DZ132" s="901"/>
      <c r="EA132" s="901"/>
      <c r="EB132" s="901"/>
      <c r="EC132" s="901"/>
      <c r="ED132" s="901"/>
      <c r="EE132" s="901"/>
      <c r="EF132" s="901"/>
      <c r="EG132" s="901"/>
      <c r="EH132" s="901"/>
      <c r="EI132" s="901"/>
      <c r="EJ132" s="901"/>
      <c r="EK132" s="901"/>
      <c r="EL132" s="901"/>
      <c r="EM132" s="901"/>
      <c r="EN132" s="901"/>
      <c r="EO132" s="901"/>
      <c r="EP132" s="901"/>
      <c r="EQ132" s="901"/>
      <c r="ER132" s="901"/>
      <c r="ES132" s="901"/>
      <c r="ET132" s="901"/>
      <c r="EU132" s="901"/>
      <c r="EV132" s="901"/>
      <c r="EW132" s="901"/>
      <c r="EX132" s="901"/>
      <c r="EY132" s="901"/>
      <c r="EZ132" s="901"/>
      <c r="FA132" s="901"/>
      <c r="FB132" s="901"/>
      <c r="FC132" s="901"/>
      <c r="FD132" s="901"/>
      <c r="FE132" s="901"/>
      <c r="FF132" s="901"/>
      <c r="FG132" s="901"/>
      <c r="FH132" s="901"/>
      <c r="FI132" s="901"/>
      <c r="FJ132" s="901"/>
      <c r="FK132" s="901"/>
      <c r="FL132" s="901"/>
      <c r="FM132" s="901"/>
      <c r="FN132" s="901"/>
      <c r="FO132" s="901"/>
      <c r="FP132" s="901"/>
      <c r="FQ132" s="901"/>
      <c r="FR132" s="901"/>
      <c r="FS132" s="901"/>
      <c r="FT132" s="901"/>
      <c r="FU132" s="901"/>
      <c r="FV132" s="901"/>
      <c r="FW132" s="901"/>
      <c r="FX132" s="901"/>
      <c r="FY132" s="901"/>
      <c r="FZ132" s="901"/>
      <c r="GA132" s="901"/>
      <c r="GB132" s="901"/>
      <c r="GC132" s="901"/>
      <c r="GD132" s="901"/>
      <c r="GE132" s="901"/>
      <c r="GF132" s="901"/>
      <c r="GG132" s="901"/>
      <c r="GH132" s="901"/>
      <c r="GI132" s="901"/>
      <c r="GJ132" s="901"/>
      <c r="GK132" s="901"/>
      <c r="GL132" s="901"/>
      <c r="GM132" s="901"/>
      <c r="GN132" s="901"/>
      <c r="GO132" s="901"/>
      <c r="GP132" s="901"/>
      <c r="GQ132" s="901"/>
      <c r="GR132" s="901"/>
      <c r="GS132" s="901"/>
      <c r="GT132" s="901"/>
      <c r="GU132" s="901"/>
      <c r="GV132" s="901"/>
      <c r="GW132" s="901"/>
      <c r="GX132" s="901"/>
      <c r="GY132" s="901"/>
      <c r="GZ132" s="901"/>
      <c r="HA132" s="901"/>
      <c r="HB132" s="901"/>
      <c r="HC132" s="901"/>
      <c r="HD132" s="901"/>
      <c r="HE132" s="901"/>
      <c r="HF132" s="901"/>
      <c r="HG132" s="901"/>
      <c r="HH132" s="901"/>
      <c r="HI132" s="901"/>
      <c r="HJ132" s="901"/>
      <c r="HK132" s="901"/>
      <c r="HL132" s="901"/>
      <c r="HM132" s="901"/>
      <c r="HN132" s="901"/>
      <c r="HO132" s="901"/>
      <c r="HP132" s="901"/>
      <c r="HQ132" s="901"/>
      <c r="HR132" s="901"/>
      <c r="HS132" s="901"/>
      <c r="HT132" s="901"/>
      <c r="HU132" s="901"/>
      <c r="HV132" s="901"/>
      <c r="HW132" s="901"/>
      <c r="HX132" s="901"/>
      <c r="HY132" s="901"/>
      <c r="HZ132" s="901"/>
      <c r="IA132" s="901"/>
      <c r="IB132" s="901"/>
      <c r="IC132" s="901"/>
      <c r="ID132" s="901"/>
      <c r="IE132" s="901"/>
      <c r="IF132" s="901"/>
      <c r="IG132" s="901"/>
      <c r="IH132" s="901"/>
      <c r="II132" s="901"/>
      <c r="IJ132" s="901"/>
      <c r="IK132" s="901"/>
      <c r="IL132" s="901"/>
      <c r="IM132" s="901"/>
      <c r="IN132" s="901"/>
      <c r="IO132" s="901"/>
      <c r="IP132" s="901"/>
      <c r="IQ132" s="901"/>
      <c r="IR132" s="901"/>
      <c r="IS132" s="901"/>
      <c r="IT132" s="901"/>
      <c r="IU132" s="901"/>
      <c r="IV132" s="901"/>
      <c r="IW132" s="901"/>
      <c r="IX132" s="901"/>
      <c r="IY132" s="901"/>
      <c r="IZ132" s="901"/>
      <c r="JA132" s="901"/>
      <c r="JB132" s="901"/>
      <c r="JC132" s="901"/>
      <c r="JD132" s="901"/>
      <c r="JE132" s="901"/>
      <c r="JF132" s="901"/>
      <c r="JG132" s="901"/>
      <c r="JH132" s="901"/>
      <c r="JI132" s="901"/>
      <c r="JJ132" s="901"/>
      <c r="JK132" s="901"/>
      <c r="JL132" s="901"/>
      <c r="JM132" s="901"/>
      <c r="JN132" s="901"/>
      <c r="JO132" s="901"/>
      <c r="JP132" s="901"/>
      <c r="JQ132" s="901"/>
      <c r="JR132" s="901"/>
      <c r="JS132" s="901"/>
      <c r="JT132" s="901"/>
      <c r="JU132" s="901"/>
      <c r="JV132" s="901"/>
      <c r="JW132" s="901"/>
      <c r="JX132" s="901"/>
      <c r="JY132" s="901"/>
      <c r="JZ132" s="901"/>
      <c r="KA132" s="901"/>
      <c r="KB132" s="901"/>
      <c r="KC132" s="901"/>
      <c r="KD132" s="901"/>
      <c r="KE132" s="901"/>
      <c r="KF132" s="901"/>
      <c r="KG132" s="901"/>
      <c r="KH132" s="901"/>
      <c r="KI132" s="901"/>
      <c r="KJ132" s="901"/>
      <c r="KK132" s="901"/>
      <c r="KL132" s="901"/>
      <c r="KM132" s="901"/>
      <c r="KN132" s="901"/>
      <c r="KO132" s="901"/>
      <c r="KP132" s="901"/>
      <c r="KQ132" s="901"/>
      <c r="KR132" s="901"/>
      <c r="KS132" s="901"/>
      <c r="KT132" s="901"/>
      <c r="KU132" s="901"/>
      <c r="KV132" s="901"/>
      <c r="KW132" s="901"/>
      <c r="KX132" s="901"/>
      <c r="KY132" s="901"/>
      <c r="KZ132" s="901"/>
      <c r="LA132" s="901"/>
      <c r="LB132" s="901"/>
      <c r="LC132" s="901"/>
      <c r="LD132" s="901"/>
      <c r="LE132" s="901"/>
      <c r="LF132" s="901"/>
      <c r="LG132" s="901"/>
      <c r="LH132" s="901"/>
      <c r="LI132" s="901"/>
      <c r="LJ132" s="901"/>
      <c r="LK132" s="901"/>
      <c r="LL132" s="901"/>
      <c r="LM132" s="901"/>
      <c r="LN132" s="901"/>
      <c r="LO132" s="901"/>
      <c r="LP132" s="901"/>
      <c r="LQ132" s="901"/>
      <c r="LR132" s="901"/>
      <c r="LS132" s="901"/>
      <c r="LT132" s="901"/>
      <c r="LU132" s="901"/>
      <c r="LV132" s="901"/>
      <c r="LW132" s="901"/>
      <c r="LX132" s="901"/>
      <c r="LY132" s="901"/>
      <c r="LZ132" s="901"/>
      <c r="MA132" s="901"/>
      <c r="MB132" s="901"/>
      <c r="MC132" s="901"/>
      <c r="MD132" s="901"/>
      <c r="ME132" s="901"/>
      <c r="MF132" s="901"/>
      <c r="MG132" s="901"/>
      <c r="MH132" s="901"/>
      <c r="MI132" s="901"/>
      <c r="MJ132" s="901"/>
      <c r="MK132" s="901"/>
      <c r="ML132" s="901"/>
      <c r="MM132" s="901"/>
      <c r="MN132" s="901"/>
      <c r="MO132" s="901"/>
      <c r="MP132" s="901"/>
      <c r="MQ132" s="901"/>
      <c r="MR132" s="901"/>
      <c r="MS132" s="901"/>
      <c r="MT132" s="901"/>
      <c r="MU132" s="901"/>
      <c r="MV132" s="901"/>
      <c r="MW132" s="901"/>
      <c r="MX132" s="901"/>
      <c r="MY132" s="901"/>
      <c r="MZ132" s="901"/>
      <c r="NA132" s="901"/>
      <c r="NB132" s="901"/>
      <c r="NC132" s="901"/>
      <c r="ND132" s="901"/>
      <c r="NE132" s="901"/>
      <c r="NF132" s="901"/>
      <c r="NG132" s="901"/>
      <c r="NH132" s="901"/>
      <c r="NI132" s="901"/>
      <c r="NJ132" s="901"/>
      <c r="NK132" s="901"/>
      <c r="NL132" s="901"/>
      <c r="NM132" s="901"/>
      <c r="NN132" s="901"/>
      <c r="NO132" s="901"/>
      <c r="NP132" s="901"/>
      <c r="NQ132" s="901"/>
      <c r="NR132" s="901"/>
      <c r="NS132" s="901"/>
      <c r="NT132" s="901"/>
      <c r="NU132" s="901"/>
      <c r="NV132" s="901"/>
      <c r="NW132" s="901"/>
      <c r="NX132" s="901"/>
      <c r="NY132" s="901"/>
      <c r="NZ132" s="901"/>
      <c r="OA132" s="901"/>
      <c r="OB132" s="901"/>
      <c r="OC132" s="901"/>
      <c r="OD132" s="901"/>
      <c r="OE132" s="901"/>
      <c r="OF132" s="901"/>
      <c r="OG132" s="901"/>
      <c r="OH132" s="901"/>
      <c r="OI132" s="901"/>
      <c r="OJ132" s="901"/>
      <c r="OK132" s="901"/>
      <c r="OL132" s="901"/>
      <c r="OM132" s="901"/>
      <c r="ON132" s="901"/>
      <c r="OO132" s="901"/>
      <c r="OP132" s="901"/>
      <c r="OQ132" s="901"/>
      <c r="OR132" s="901"/>
      <c r="OS132" s="901"/>
      <c r="OT132" s="901"/>
      <c r="OU132" s="901"/>
      <c r="OV132" s="901"/>
      <c r="OW132" s="901"/>
      <c r="OX132" s="901"/>
      <c r="OY132" s="901"/>
      <c r="OZ132" s="901"/>
      <c r="PA132" s="901"/>
      <c r="PB132" s="901"/>
      <c r="PC132" s="901"/>
      <c r="PD132" s="901"/>
      <c r="PE132" s="901"/>
      <c r="PF132" s="901"/>
      <c r="PG132" s="901"/>
      <c r="PH132" s="901"/>
      <c r="PI132" s="901"/>
      <c r="PJ132" s="901"/>
      <c r="PK132" s="901"/>
      <c r="PL132" s="901"/>
      <c r="PM132" s="901"/>
      <c r="PN132" s="901"/>
      <c r="PO132" s="901"/>
      <c r="PP132" s="901"/>
      <c r="PQ132" s="901"/>
      <c r="PR132" s="901"/>
      <c r="PS132" s="901"/>
      <c r="PT132" s="901"/>
      <c r="PU132" s="901"/>
      <c r="PV132" s="901"/>
      <c r="PW132" s="901"/>
      <c r="PX132" s="901"/>
      <c r="PY132" s="901"/>
      <c r="PZ132" s="901"/>
      <c r="QA132" s="901"/>
      <c r="QB132" s="901"/>
      <c r="QC132" s="901"/>
      <c r="QD132" s="901"/>
      <c r="QE132" s="901"/>
      <c r="QF132" s="901"/>
      <c r="QG132" s="901"/>
      <c r="QH132" s="901"/>
      <c r="QI132" s="901"/>
      <c r="QJ132" s="901"/>
      <c r="QK132" s="901"/>
      <c r="QL132" s="901"/>
      <c r="QM132" s="901"/>
      <c r="QN132" s="901"/>
      <c r="QO132" s="901"/>
      <c r="QP132" s="901"/>
      <c r="QQ132" s="901"/>
      <c r="QR132" s="901"/>
      <c r="QS132" s="901"/>
      <c r="QT132" s="901"/>
      <c r="QU132" s="901"/>
      <c r="QV132" s="901"/>
      <c r="QW132" s="901"/>
      <c r="QX132" s="901"/>
      <c r="QY132" s="901"/>
      <c r="QZ132" s="901"/>
      <c r="RA132" s="901"/>
      <c r="RB132" s="901"/>
      <c r="RC132" s="901"/>
      <c r="RD132" s="901"/>
      <c r="RE132" s="901"/>
      <c r="RF132" s="901"/>
      <c r="RG132" s="901"/>
      <c r="RH132" s="901"/>
      <c r="RI132" s="901"/>
      <c r="RJ132" s="901"/>
      <c r="RK132" s="901"/>
      <c r="RL132" s="901"/>
      <c r="RM132" s="901"/>
      <c r="RN132" s="901"/>
      <c r="RO132" s="901"/>
      <c r="RP132" s="901"/>
      <c r="RQ132" s="901"/>
      <c r="RR132" s="901"/>
      <c r="RS132" s="901"/>
      <c r="RT132" s="901"/>
      <c r="RU132" s="901"/>
      <c r="RV132" s="901"/>
      <c r="RW132" s="901"/>
      <c r="RX132" s="901"/>
      <c r="RY132" s="901"/>
      <c r="RZ132" s="901"/>
      <c r="SA132" s="901"/>
      <c r="SB132" s="901"/>
      <c r="SC132" s="901"/>
      <c r="SD132" s="901"/>
      <c r="SE132" s="901"/>
      <c r="SF132" s="901"/>
      <c r="SG132" s="901"/>
      <c r="SH132" s="901"/>
      <c r="SI132" s="901"/>
      <c r="SJ132" s="901"/>
      <c r="SK132" s="901"/>
      <c r="SL132" s="901"/>
      <c r="SM132" s="901"/>
      <c r="SN132" s="901"/>
      <c r="SO132" s="901"/>
      <c r="SP132" s="901"/>
      <c r="SQ132" s="901"/>
      <c r="SR132" s="901"/>
      <c r="SS132" s="901"/>
      <c r="ST132" s="901"/>
      <c r="SU132" s="901"/>
      <c r="SV132" s="901"/>
      <c r="SW132" s="901"/>
      <c r="SX132" s="901"/>
      <c r="SY132" s="901"/>
      <c r="SZ132" s="901"/>
      <c r="TA132" s="901"/>
      <c r="TB132" s="901"/>
      <c r="TC132" s="901"/>
      <c r="TD132" s="901"/>
      <c r="TE132" s="901"/>
      <c r="TF132" s="901"/>
      <c r="TG132" s="901"/>
      <c r="TH132" s="901"/>
      <c r="TI132" s="901"/>
      <c r="TJ132" s="901"/>
      <c r="TK132" s="901"/>
      <c r="TL132" s="901"/>
      <c r="TM132" s="901"/>
      <c r="TN132" s="901"/>
      <c r="TO132" s="901"/>
      <c r="TP132" s="901"/>
      <c r="TQ132" s="901"/>
      <c r="TR132" s="901"/>
      <c r="TS132" s="901"/>
      <c r="TT132" s="901"/>
      <c r="TU132" s="901"/>
      <c r="TV132" s="901"/>
      <c r="TW132" s="901"/>
      <c r="TX132" s="901"/>
      <c r="TY132" s="901"/>
      <c r="TZ132" s="901"/>
      <c r="UA132" s="901"/>
      <c r="UB132" s="901"/>
      <c r="UC132" s="901"/>
      <c r="UD132" s="901"/>
      <c r="UE132" s="901"/>
      <c r="UF132" s="901"/>
      <c r="UG132" s="901"/>
      <c r="UH132" s="901"/>
      <c r="UI132" s="901"/>
      <c r="UJ132" s="901"/>
      <c r="UK132" s="901"/>
      <c r="UL132" s="901"/>
      <c r="UM132" s="901"/>
      <c r="UN132" s="901"/>
      <c r="UO132" s="901"/>
      <c r="UP132" s="901"/>
      <c r="UQ132" s="901"/>
      <c r="UR132" s="901"/>
      <c r="US132" s="901"/>
      <c r="UT132" s="901"/>
      <c r="UU132" s="901"/>
      <c r="UV132" s="901"/>
      <c r="UW132" s="901"/>
      <c r="UX132" s="901"/>
      <c r="UY132" s="901"/>
      <c r="UZ132" s="901"/>
      <c r="VA132" s="901"/>
      <c r="VB132" s="901"/>
      <c r="VC132" s="901"/>
      <c r="VD132" s="901"/>
      <c r="VE132" s="901"/>
      <c r="VF132" s="901"/>
      <c r="VG132" s="901"/>
      <c r="VH132" s="901"/>
      <c r="VI132" s="901"/>
      <c r="VJ132" s="901"/>
      <c r="VK132" s="901"/>
      <c r="VL132" s="901"/>
      <c r="VM132" s="901"/>
      <c r="VN132" s="901"/>
      <c r="VO132" s="901"/>
      <c r="VP132" s="901"/>
      <c r="VQ132" s="901"/>
      <c r="VR132" s="901"/>
      <c r="VS132" s="901"/>
      <c r="VT132" s="901"/>
      <c r="VU132" s="901"/>
      <c r="VV132" s="901"/>
      <c r="VW132" s="901"/>
      <c r="VX132" s="901"/>
      <c r="VY132" s="901"/>
      <c r="VZ132" s="901"/>
      <c r="WA132" s="901"/>
      <c r="WB132" s="901"/>
      <c r="WC132" s="901"/>
      <c r="WD132" s="901"/>
      <c r="WE132" s="901"/>
      <c r="WF132" s="901"/>
      <c r="WG132" s="901"/>
      <c r="WH132" s="901"/>
      <c r="WI132" s="901"/>
      <c r="WJ132" s="901"/>
      <c r="WK132" s="901"/>
      <c r="WL132" s="901"/>
      <c r="WM132" s="901"/>
      <c r="WN132" s="901"/>
      <c r="WO132" s="901"/>
      <c r="WP132" s="901"/>
      <c r="WQ132" s="901"/>
      <c r="WR132" s="901"/>
      <c r="WS132" s="901"/>
      <c r="WT132" s="901"/>
      <c r="WU132" s="901"/>
      <c r="WV132" s="901"/>
      <c r="WW132" s="901"/>
      <c r="WX132" s="901"/>
      <c r="WY132" s="901"/>
      <c r="WZ132" s="901"/>
      <c r="XA132" s="901"/>
      <c r="XB132" s="901"/>
      <c r="XC132" s="901"/>
      <c r="XD132" s="901"/>
      <c r="XE132" s="901"/>
      <c r="XF132" s="901"/>
      <c r="XG132" s="901"/>
      <c r="XH132" s="901"/>
      <c r="XI132" s="901"/>
      <c r="XJ132" s="901"/>
      <c r="XK132" s="901"/>
      <c r="XL132" s="901"/>
      <c r="XM132" s="901"/>
      <c r="XN132" s="901"/>
      <c r="XO132" s="901"/>
      <c r="XP132" s="901"/>
      <c r="XQ132" s="901"/>
      <c r="XR132" s="901"/>
      <c r="XS132" s="901"/>
      <c r="XT132" s="901"/>
      <c r="XU132" s="901"/>
      <c r="XV132" s="901"/>
      <c r="XW132" s="901"/>
      <c r="XX132" s="901"/>
      <c r="XY132" s="901"/>
      <c r="XZ132" s="901"/>
      <c r="YA132" s="901"/>
      <c r="YB132" s="901"/>
      <c r="YC132" s="901"/>
      <c r="YD132" s="901"/>
      <c r="YE132" s="901"/>
      <c r="YF132" s="901"/>
      <c r="YG132" s="901"/>
      <c r="YH132" s="901"/>
      <c r="YI132" s="901"/>
      <c r="YJ132" s="901"/>
      <c r="YK132" s="901"/>
      <c r="YL132" s="901"/>
      <c r="YM132" s="901"/>
      <c r="YN132" s="901"/>
      <c r="YO132" s="901"/>
      <c r="YP132" s="901"/>
      <c r="YQ132" s="901"/>
      <c r="YR132" s="901"/>
      <c r="YS132" s="901"/>
      <c r="YT132" s="901"/>
      <c r="YU132" s="901"/>
      <c r="YV132" s="901"/>
      <c r="YW132" s="901"/>
      <c r="YX132" s="901"/>
      <c r="YY132" s="901"/>
      <c r="YZ132" s="901"/>
      <c r="ZA132" s="901"/>
      <c r="ZB132" s="901"/>
      <c r="ZC132" s="901"/>
      <c r="ZD132" s="901"/>
      <c r="ZE132" s="901"/>
      <c r="ZF132" s="901"/>
      <c r="ZG132" s="901"/>
      <c r="ZH132" s="901"/>
      <c r="ZI132" s="901"/>
      <c r="ZJ132" s="901"/>
      <c r="ZK132" s="901"/>
      <c r="ZL132" s="901"/>
      <c r="ZM132" s="901"/>
      <c r="ZN132" s="901"/>
      <c r="ZO132" s="901"/>
      <c r="ZP132" s="901"/>
      <c r="ZQ132" s="901"/>
      <c r="ZR132" s="901"/>
      <c r="ZS132" s="901"/>
      <c r="ZT132" s="901"/>
      <c r="ZU132" s="901"/>
      <c r="ZV132" s="901"/>
      <c r="ZW132" s="901"/>
      <c r="ZX132" s="901"/>
      <c r="ZY132" s="901"/>
      <c r="ZZ132" s="901"/>
      <c r="AAA132" s="901"/>
      <c r="AAB132" s="901"/>
      <c r="AAC132" s="901"/>
      <c r="AAD132" s="901"/>
      <c r="AAE132" s="901"/>
      <c r="AAF132" s="901"/>
      <c r="AAG132" s="901"/>
      <c r="AAH132" s="901"/>
      <c r="AAI132" s="901"/>
      <c r="AAJ132" s="901"/>
      <c r="AAK132" s="901"/>
      <c r="AAL132" s="901"/>
      <c r="AAM132" s="901"/>
      <c r="AAN132" s="901"/>
      <c r="AAO132" s="901"/>
      <c r="AAP132" s="901"/>
      <c r="AAQ132" s="901"/>
      <c r="AAR132" s="901"/>
      <c r="AAS132" s="901"/>
      <c r="AAT132" s="901"/>
      <c r="AAU132" s="901"/>
      <c r="AAV132" s="901"/>
      <c r="AAW132" s="901"/>
      <c r="AAX132" s="901"/>
      <c r="AAY132" s="901"/>
      <c r="AAZ132" s="901"/>
      <c r="ABA132" s="901"/>
      <c r="ABB132" s="901"/>
      <c r="ABC132" s="901"/>
      <c r="ABD132" s="901"/>
      <c r="ABE132" s="901"/>
      <c r="ABF132" s="901"/>
      <c r="ABG132" s="901"/>
      <c r="ABH132" s="901"/>
      <c r="ABI132" s="901"/>
      <c r="ABJ132" s="901"/>
      <c r="ABK132" s="901"/>
      <c r="ABL132" s="901"/>
      <c r="ABM132" s="901"/>
      <c r="ABN132" s="901"/>
      <c r="ABO132" s="901"/>
      <c r="ABP132" s="901"/>
      <c r="ABQ132" s="901"/>
      <c r="ABR132" s="901"/>
      <c r="ABS132" s="901"/>
      <c r="ABT132" s="901"/>
      <c r="ABU132" s="901"/>
      <c r="ABV132" s="901"/>
      <c r="ABW132" s="901"/>
      <c r="ABX132" s="901"/>
      <c r="ABY132" s="901"/>
      <c r="ABZ132" s="901"/>
      <c r="ACA132" s="901"/>
      <c r="ACB132" s="901"/>
      <c r="ACC132" s="901"/>
      <c r="ACD132" s="901"/>
      <c r="ACE132" s="901"/>
      <c r="ACF132" s="901"/>
      <c r="ACG132" s="901"/>
      <c r="ACH132" s="901"/>
      <c r="ACI132" s="901"/>
      <c r="ACJ132" s="901"/>
      <c r="ACK132" s="901"/>
      <c r="ACL132" s="901"/>
      <c r="ACM132" s="901"/>
      <c r="ACN132" s="901"/>
      <c r="ACO132" s="901"/>
      <c r="ACP132" s="901"/>
      <c r="ACQ132" s="901"/>
      <c r="ACR132" s="901"/>
      <c r="ACS132" s="901"/>
      <c r="ACT132" s="901"/>
      <c r="ACU132" s="901"/>
      <c r="ACV132" s="901"/>
      <c r="ACW132" s="901"/>
      <c r="ACX132" s="901"/>
      <c r="ACY132" s="901"/>
      <c r="ACZ132" s="901"/>
      <c r="ADA132" s="901"/>
      <c r="ADB132" s="901"/>
      <c r="ADC132" s="901"/>
      <c r="ADD132" s="901"/>
      <c r="ADE132" s="901"/>
      <c r="ADF132" s="901"/>
      <c r="ADG132" s="901"/>
      <c r="ADH132" s="901"/>
      <c r="ADI132" s="901"/>
      <c r="ADJ132" s="901"/>
      <c r="ADK132" s="901"/>
      <c r="ADL132" s="901"/>
      <c r="ADM132" s="901"/>
      <c r="ADN132" s="901"/>
      <c r="ADO132" s="901"/>
      <c r="ADP132" s="901"/>
      <c r="ADQ132" s="901"/>
      <c r="ADR132" s="901"/>
      <c r="ADS132" s="901"/>
      <c r="ADT132" s="901"/>
      <c r="ADU132" s="901"/>
      <c r="ADV132" s="901"/>
      <c r="ADW132" s="901"/>
      <c r="ADX132" s="901"/>
      <c r="ADY132" s="901"/>
      <c r="ADZ132" s="901"/>
      <c r="AEA132" s="901"/>
      <c r="AEB132" s="901"/>
      <c r="AEC132" s="901"/>
      <c r="AED132" s="901"/>
      <c r="AEE132" s="901"/>
      <c r="AEF132" s="901"/>
      <c r="AEG132" s="901"/>
      <c r="AEH132" s="901"/>
      <c r="AEI132" s="901"/>
      <c r="AEJ132" s="901"/>
      <c r="AEK132" s="901"/>
      <c r="AEL132" s="901"/>
      <c r="AEM132" s="901"/>
      <c r="AEN132" s="901"/>
      <c r="AEO132" s="901"/>
      <c r="AEP132" s="901"/>
      <c r="AEQ132" s="901"/>
      <c r="AER132" s="901"/>
      <c r="AES132" s="901"/>
      <c r="AET132" s="901"/>
      <c r="AEU132" s="901"/>
      <c r="AEV132" s="901"/>
      <c r="AEW132" s="901"/>
      <c r="AEX132" s="901"/>
      <c r="AEY132" s="901"/>
      <c r="AEZ132" s="901"/>
      <c r="AFA132" s="901"/>
      <c r="AFB132" s="901"/>
      <c r="AFC132" s="901"/>
      <c r="AFD132" s="901"/>
      <c r="AFE132" s="901"/>
      <c r="AFF132" s="901"/>
      <c r="AFG132" s="901"/>
      <c r="AFH132" s="901"/>
      <c r="AFI132" s="901"/>
      <c r="AFJ132" s="901"/>
      <c r="AFK132" s="901"/>
      <c r="AFL132" s="901"/>
      <c r="AFM132" s="901"/>
      <c r="AFN132" s="901"/>
      <c r="AFO132" s="901"/>
      <c r="AFP132" s="901"/>
      <c r="AFQ132" s="901"/>
      <c r="AFR132" s="901"/>
      <c r="AFS132" s="901"/>
      <c r="AFT132" s="901"/>
      <c r="AFU132" s="901"/>
      <c r="AFV132" s="901"/>
      <c r="AFW132" s="901"/>
      <c r="AFX132" s="901"/>
      <c r="AFY132" s="901"/>
      <c r="AFZ132" s="901"/>
      <c r="AGA132" s="901"/>
      <c r="AGB132" s="901"/>
      <c r="AGC132" s="901"/>
      <c r="AGD132" s="901"/>
      <c r="AGE132" s="901"/>
      <c r="AGF132" s="901"/>
      <c r="AGG132" s="901"/>
      <c r="AGH132" s="901"/>
      <c r="AGI132" s="901"/>
      <c r="AGJ132" s="901"/>
      <c r="AGK132" s="901"/>
      <c r="AGL132" s="901"/>
      <c r="AGM132" s="901"/>
      <c r="AGN132" s="901"/>
      <c r="AGO132" s="901"/>
      <c r="AGP132" s="901"/>
      <c r="AGQ132" s="901"/>
      <c r="AGR132" s="901"/>
      <c r="AGS132" s="901"/>
      <c r="AGT132" s="901"/>
      <c r="AGU132" s="901"/>
      <c r="AGV132" s="901"/>
      <c r="AGW132" s="901"/>
      <c r="AGX132" s="901"/>
      <c r="AGY132" s="901"/>
      <c r="AGZ132" s="901"/>
      <c r="AHA132" s="901"/>
      <c r="AHB132" s="901"/>
      <c r="AHC132" s="901"/>
      <c r="AHD132" s="901"/>
      <c r="AHE132" s="901"/>
      <c r="AHF132" s="901"/>
      <c r="AHG132" s="901"/>
      <c r="AHH132" s="901"/>
      <c r="AHI132" s="901"/>
      <c r="AHJ132" s="901"/>
      <c r="AHK132" s="901"/>
      <c r="AHL132" s="901"/>
      <c r="AHM132" s="901"/>
      <c r="AHN132" s="901"/>
      <c r="AHO132" s="901"/>
      <c r="AHP132" s="901"/>
      <c r="AHQ132" s="901"/>
      <c r="AHR132" s="901"/>
      <c r="AHS132" s="901"/>
      <c r="AHT132" s="901"/>
      <c r="AHU132" s="901"/>
      <c r="AHV132" s="901"/>
      <c r="AHW132" s="901"/>
      <c r="AHX132" s="901"/>
      <c r="AHY132" s="901"/>
      <c r="AHZ132" s="901"/>
      <c r="AIA132" s="901"/>
      <c r="AIB132" s="901"/>
      <c r="AIC132" s="901"/>
      <c r="AID132" s="901"/>
      <c r="AIE132" s="901"/>
      <c r="AIF132" s="901"/>
      <c r="AIG132" s="901"/>
      <c r="AIH132" s="901"/>
      <c r="AII132" s="901"/>
      <c r="AIJ132" s="901"/>
      <c r="AIK132" s="901"/>
      <c r="AIL132" s="901"/>
      <c r="AIM132" s="901"/>
      <c r="AIN132" s="901"/>
      <c r="AIO132" s="901"/>
      <c r="AIP132" s="901"/>
      <c r="AIQ132" s="901"/>
      <c r="AIR132" s="901"/>
      <c r="AIS132" s="901"/>
      <c r="AIT132" s="901"/>
      <c r="AIU132" s="901"/>
      <c r="AIV132" s="901"/>
      <c r="AIW132" s="901"/>
      <c r="AIX132" s="901"/>
      <c r="AIY132" s="901"/>
      <c r="AIZ132" s="901"/>
      <c r="AJA132" s="901"/>
      <c r="AJB132" s="901"/>
      <c r="AJC132" s="901"/>
      <c r="AJD132" s="901"/>
      <c r="AJE132" s="901"/>
      <c r="AJF132" s="901"/>
      <c r="AJG132" s="901"/>
      <c r="AJH132" s="901"/>
      <c r="AJI132" s="901"/>
      <c r="AJJ132" s="901"/>
      <c r="AJK132" s="901"/>
      <c r="AJL132" s="901"/>
      <c r="AJM132" s="901"/>
      <c r="AJN132" s="901"/>
      <c r="AJO132" s="901"/>
      <c r="AJP132" s="901"/>
      <c r="AJQ132" s="901"/>
      <c r="AJR132" s="901"/>
      <c r="AJS132" s="901"/>
      <c r="AJT132" s="901"/>
      <c r="AJU132" s="901"/>
      <c r="AJV132" s="901"/>
      <c r="AJW132" s="901"/>
      <c r="AJX132" s="901"/>
      <c r="AJY132" s="901"/>
      <c r="AJZ132" s="901"/>
      <c r="AKA132" s="901"/>
      <c r="AKB132" s="901"/>
      <c r="AKC132" s="901"/>
      <c r="AKD132" s="901"/>
      <c r="AKE132" s="901"/>
      <c r="AKF132" s="901"/>
      <c r="AKG132" s="901"/>
      <c r="AKH132" s="901"/>
      <c r="AKI132" s="901"/>
      <c r="AKJ132" s="901"/>
      <c r="AKK132" s="901"/>
      <c r="AKL132" s="901"/>
      <c r="AKM132" s="901"/>
      <c r="AKN132" s="901"/>
      <c r="AKO132" s="901"/>
      <c r="AKP132" s="901"/>
      <c r="AKQ132" s="901"/>
      <c r="AKR132" s="901"/>
      <c r="AKS132" s="901"/>
      <c r="AKT132" s="901"/>
      <c r="AKU132" s="901"/>
      <c r="AKV132" s="901"/>
      <c r="AKW132" s="901"/>
      <c r="AKX132" s="901"/>
      <c r="AKY132" s="901"/>
      <c r="AKZ132" s="901"/>
      <c r="ALA132" s="901"/>
      <c r="ALB132" s="901"/>
      <c r="ALC132" s="901"/>
      <c r="ALD132" s="901"/>
      <c r="ALE132" s="901"/>
      <c r="ALF132" s="901"/>
      <c r="ALG132" s="901"/>
      <c r="ALH132" s="901"/>
      <c r="ALI132" s="901"/>
      <c r="ALJ132" s="901"/>
      <c r="ALK132" s="901"/>
      <c r="ALL132" s="901"/>
      <c r="ALM132" s="901"/>
      <c r="ALN132" s="901"/>
      <c r="ALO132" s="901"/>
      <c r="ALP132" s="901"/>
      <c r="ALQ132" s="901"/>
      <c r="ALR132" s="901"/>
      <c r="ALS132" s="901"/>
      <c r="ALT132" s="901"/>
      <c r="ALU132" s="901"/>
      <c r="ALV132" s="901"/>
      <c r="ALW132" s="901"/>
      <c r="ALX132" s="901"/>
      <c r="ALY132" s="901"/>
      <c r="ALZ132" s="901"/>
      <c r="AMA132" s="901"/>
      <c r="AMB132" s="901"/>
      <c r="AMC132" s="901"/>
      <c r="AMD132" s="901"/>
      <c r="AME132" s="901"/>
      <c r="AMF132" s="901"/>
      <c r="AMG132" s="901"/>
      <c r="AMH132" s="901"/>
      <c r="AMI132" s="901"/>
      <c r="AMJ132" s="901"/>
      <c r="AMK132" s="901"/>
      <c r="AML132" s="901"/>
    </row>
    <row r="133" spans="1:1026">
      <c r="A133" s="360">
        <v>5</v>
      </c>
      <c r="B133" s="14" t="s">
        <v>16</v>
      </c>
      <c r="C133" s="14">
        <v>1</v>
      </c>
      <c r="D133" s="14" t="s">
        <v>16</v>
      </c>
      <c r="E133" s="15" t="s">
        <v>155</v>
      </c>
      <c r="F133" s="14" t="s">
        <v>16</v>
      </c>
      <c r="G133" s="81" t="s">
        <v>75</v>
      </c>
      <c r="H133" s="251" t="s">
        <v>449</v>
      </c>
      <c r="I133" s="122"/>
      <c r="J133" s="95"/>
      <c r="K133" s="94"/>
      <c r="L133" s="95"/>
      <c r="M133" s="94"/>
      <c r="N133" s="95"/>
      <c r="O133" s="96"/>
      <c r="P133" s="95"/>
      <c r="Q133" s="96"/>
      <c r="R133" s="33"/>
      <c r="S133" s="99"/>
      <c r="T133" s="99"/>
      <c r="U133" s="99"/>
      <c r="V133" s="99"/>
      <c r="X133" s="101"/>
      <c r="Y133" s="102"/>
      <c r="Z133" s="132"/>
      <c r="AA133" s="549"/>
      <c r="AB133" s="132"/>
      <c r="AC133" s="549"/>
      <c r="AD133" s="132"/>
      <c r="AE133" s="549"/>
      <c r="AF133" s="841">
        <v>75000</v>
      </c>
      <c r="AG133" s="134"/>
      <c r="AH133" s="670">
        <v>35000</v>
      </c>
      <c r="AI133" s="670">
        <v>35000</v>
      </c>
      <c r="AJ133" s="670">
        <v>35000</v>
      </c>
      <c r="AK133" s="717" t="s">
        <v>495</v>
      </c>
      <c r="AM133" s="106"/>
      <c r="AN133" s="106"/>
    </row>
    <row r="134" spans="1:1026" ht="25.5">
      <c r="A134" s="360">
        <v>5</v>
      </c>
      <c r="B134" s="14" t="s">
        <v>16</v>
      </c>
      <c r="C134" s="14">
        <v>1</v>
      </c>
      <c r="D134" s="14" t="s">
        <v>16</v>
      </c>
      <c r="E134" s="15" t="s">
        <v>155</v>
      </c>
      <c r="F134" s="14" t="s">
        <v>16</v>
      </c>
      <c r="G134" s="81" t="s">
        <v>79</v>
      </c>
      <c r="H134" s="251" t="s">
        <v>160</v>
      </c>
      <c r="I134" s="122">
        <v>0</v>
      </c>
      <c r="J134" s="95">
        <v>0</v>
      </c>
      <c r="K134" s="94">
        <v>0</v>
      </c>
      <c r="L134" s="95">
        <v>0</v>
      </c>
      <c r="M134" s="94">
        <v>0</v>
      </c>
      <c r="N134" s="95">
        <v>0</v>
      </c>
      <c r="O134" s="96">
        <v>0</v>
      </c>
      <c r="P134" s="95">
        <v>0</v>
      </c>
      <c r="Q134" s="96">
        <v>0</v>
      </c>
      <c r="R134" s="33">
        <v>0</v>
      </c>
      <c r="S134" s="99">
        <v>0</v>
      </c>
      <c r="T134" s="99">
        <v>0</v>
      </c>
      <c r="U134" s="99">
        <v>0</v>
      </c>
      <c r="V134" s="99">
        <v>0</v>
      </c>
      <c r="W134" s="100">
        <v>0</v>
      </c>
      <c r="X134" s="101">
        <v>0</v>
      </c>
      <c r="Y134" s="102">
        <v>0</v>
      </c>
      <c r="Z134" s="361">
        <v>0</v>
      </c>
      <c r="AA134" s="37"/>
      <c r="AB134" s="361">
        <v>0</v>
      </c>
      <c r="AD134" s="361">
        <v>0</v>
      </c>
      <c r="AE134" s="37"/>
      <c r="AF134" s="361">
        <v>0</v>
      </c>
      <c r="AG134" s="759"/>
      <c r="AH134" s="361">
        <v>0</v>
      </c>
      <c r="AI134" s="361">
        <v>0</v>
      </c>
      <c r="AJ134" s="361">
        <v>0</v>
      </c>
      <c r="AK134" s="718" t="s">
        <v>161</v>
      </c>
      <c r="AM134" s="106"/>
      <c r="AN134" s="106"/>
    </row>
    <row r="135" spans="1:1026" ht="25.5">
      <c r="A135" s="360">
        <v>5</v>
      </c>
      <c r="B135" s="14" t="s">
        <v>16</v>
      </c>
      <c r="C135" s="14">
        <v>1</v>
      </c>
      <c r="D135" s="14" t="s">
        <v>16</v>
      </c>
      <c r="E135" s="15" t="s">
        <v>155</v>
      </c>
      <c r="F135" s="14" t="s">
        <v>16</v>
      </c>
      <c r="G135" s="81" t="s">
        <v>88</v>
      </c>
      <c r="H135" s="251" t="s">
        <v>162</v>
      </c>
      <c r="I135" s="122">
        <v>10000</v>
      </c>
      <c r="J135" s="95">
        <v>4159.2700000000004</v>
      </c>
      <c r="K135" s="94">
        <v>0</v>
      </c>
      <c r="L135" s="95">
        <v>0</v>
      </c>
      <c r="M135" s="94">
        <v>0</v>
      </c>
      <c r="N135" s="95">
        <v>0</v>
      </c>
      <c r="O135" s="96">
        <v>0</v>
      </c>
      <c r="P135" s="95">
        <v>0</v>
      </c>
      <c r="Q135" s="96">
        <v>0</v>
      </c>
      <c r="R135" s="95">
        <v>0</v>
      </c>
      <c r="S135" s="99">
        <v>0</v>
      </c>
      <c r="T135" s="99">
        <v>0</v>
      </c>
      <c r="U135" s="99">
        <v>0</v>
      </c>
      <c r="V135" s="99">
        <v>0</v>
      </c>
      <c r="W135" s="100">
        <v>0</v>
      </c>
      <c r="X135" s="101">
        <v>0</v>
      </c>
      <c r="Y135" s="102">
        <v>0</v>
      </c>
      <c r="Z135" s="361">
        <v>0</v>
      </c>
      <c r="AA135" s="358"/>
      <c r="AB135" s="361">
        <v>0</v>
      </c>
      <c r="AC135" s="358"/>
      <c r="AD135" s="361">
        <v>0</v>
      </c>
      <c r="AE135" s="358"/>
      <c r="AF135" s="361">
        <v>0</v>
      </c>
      <c r="AG135" s="759"/>
      <c r="AH135" s="361">
        <v>0</v>
      </c>
      <c r="AI135" s="361">
        <v>0</v>
      </c>
      <c r="AJ135" s="361">
        <v>0</v>
      </c>
      <c r="AK135" s="718" t="s">
        <v>161</v>
      </c>
      <c r="AM135" s="106"/>
      <c r="AN135" s="106"/>
    </row>
    <row r="136" spans="1:1026" ht="25.5">
      <c r="A136" s="363">
        <v>5</v>
      </c>
      <c r="B136" s="67" t="s">
        <v>16</v>
      </c>
      <c r="C136" s="67">
        <v>1</v>
      </c>
      <c r="D136" s="67" t="s">
        <v>16</v>
      </c>
      <c r="E136" s="68" t="s">
        <v>155</v>
      </c>
      <c r="F136" s="67" t="s">
        <v>16</v>
      </c>
      <c r="G136" s="69" t="s">
        <v>90</v>
      </c>
      <c r="H136" s="364" t="s">
        <v>163</v>
      </c>
      <c r="I136" s="122">
        <v>0</v>
      </c>
      <c r="J136" s="95">
        <v>0</v>
      </c>
      <c r="K136" s="94">
        <v>0</v>
      </c>
      <c r="L136" s="95">
        <v>0</v>
      </c>
      <c r="M136" s="94">
        <v>0</v>
      </c>
      <c r="N136" s="95">
        <v>0</v>
      </c>
      <c r="O136" s="96">
        <v>7000</v>
      </c>
      <c r="P136" s="95">
        <v>2097.25</v>
      </c>
      <c r="Q136" s="96">
        <v>7000</v>
      </c>
      <c r="R136" s="95">
        <v>2097.25</v>
      </c>
      <c r="S136" s="99">
        <v>7000</v>
      </c>
      <c r="T136" s="207">
        <v>7000</v>
      </c>
      <c r="U136" s="99" t="e">
        <f>-IF(ISNA(VLOOKUP(Q136,#REF!,6,FALSE())),0,VLOOKUP(Q136,#REF!,6,FALSE()))</f>
        <v>#REF!</v>
      </c>
      <c r="V136" s="207">
        <v>7000</v>
      </c>
      <c r="W136" s="100">
        <v>-3044.82</v>
      </c>
      <c r="X136" s="209">
        <v>7000</v>
      </c>
      <c r="Y136" s="210">
        <v>-1347.21</v>
      </c>
      <c r="Z136" s="365">
        <v>7000</v>
      </c>
      <c r="AA136" s="366">
        <v>-7909.18</v>
      </c>
      <c r="AB136" s="365">
        <v>7000</v>
      </c>
      <c r="AC136" s="366">
        <v>-7909.18</v>
      </c>
      <c r="AD136" s="365">
        <v>7000</v>
      </c>
      <c r="AE136" s="366">
        <v>-5871</v>
      </c>
      <c r="AF136" s="365">
        <v>7000</v>
      </c>
      <c r="AG136" s="760">
        <v>-764.13</v>
      </c>
      <c r="AH136" s="837">
        <v>9000</v>
      </c>
      <c r="AI136" s="837">
        <v>9000</v>
      </c>
      <c r="AJ136" s="1060">
        <v>8000</v>
      </c>
      <c r="AK136" s="869" t="s">
        <v>500</v>
      </c>
      <c r="AM136" s="106"/>
      <c r="AN136" s="106"/>
    </row>
    <row r="137" spans="1:1026">
      <c r="A137" s="144"/>
      <c r="B137" s="680"/>
      <c r="C137" s="680"/>
      <c r="D137" s="680"/>
      <c r="E137" s="676"/>
      <c r="F137" s="680"/>
      <c r="G137" s="145"/>
      <c r="H137" s="367" t="s">
        <v>164</v>
      </c>
      <c r="I137" s="368">
        <f t="shared" ref="I137:P137" si="60">SUM(I127:I136)</f>
        <v>66000</v>
      </c>
      <c r="J137" s="369">
        <f t="shared" si="60"/>
        <v>56487.69</v>
      </c>
      <c r="K137" s="368">
        <f t="shared" si="60"/>
        <v>55000</v>
      </c>
      <c r="L137" s="369">
        <f t="shared" si="60"/>
        <v>19505.61</v>
      </c>
      <c r="M137" s="368">
        <f t="shared" si="60"/>
        <v>41600</v>
      </c>
      <c r="N137" s="369">
        <f t="shared" si="60"/>
        <v>33126.06</v>
      </c>
      <c r="O137" s="370">
        <f t="shared" si="60"/>
        <v>63000</v>
      </c>
      <c r="P137" s="369">
        <f t="shared" si="60"/>
        <v>8748.2999999999993</v>
      </c>
      <c r="Q137" s="370">
        <v>50500</v>
      </c>
      <c r="R137" s="369">
        <f>SUM(R127:R136)</f>
        <v>12645.38</v>
      </c>
      <c r="S137" s="371">
        <f>SUM(S127:S136)</f>
        <v>66000</v>
      </c>
      <c r="T137" s="371">
        <f>SUM(T127:T136)</f>
        <v>66000</v>
      </c>
      <c r="U137" s="371"/>
      <c r="V137" s="372">
        <f t="shared" ref="V137:AE137" si="61">SUM(V127:V136)</f>
        <v>71500</v>
      </c>
      <c r="W137" s="373">
        <f t="shared" si="61"/>
        <v>-21136.66</v>
      </c>
      <c r="X137" s="374">
        <f t="shared" si="61"/>
        <v>79000</v>
      </c>
      <c r="Y137" s="375">
        <f t="shared" si="61"/>
        <v>-20944.400000000001</v>
      </c>
      <c r="Z137" s="374">
        <f t="shared" si="61"/>
        <v>82000</v>
      </c>
      <c r="AA137" s="374">
        <f t="shared" si="61"/>
        <v>-81971.03</v>
      </c>
      <c r="AB137" s="374">
        <f t="shared" si="61"/>
        <v>82000</v>
      </c>
      <c r="AC137" s="376">
        <f t="shared" ref="AC137" si="62">SUM(AC127:AC136)</f>
        <v>-81971.03</v>
      </c>
      <c r="AD137" s="374">
        <f t="shared" si="61"/>
        <v>92000</v>
      </c>
      <c r="AE137" s="374">
        <f t="shared" si="61"/>
        <v>-117209.28</v>
      </c>
      <c r="AF137" s="374">
        <f>SUM(AF127:AF136)</f>
        <v>157000</v>
      </c>
      <c r="AG137" s="374">
        <f t="shared" ref="AG137" si="63">SUM(AG127:AG136)</f>
        <v>-7254.4900000000007</v>
      </c>
      <c r="AH137" s="374">
        <f>SUM(AH127:AH136)</f>
        <v>142000</v>
      </c>
      <c r="AI137" s="374">
        <f>SUM(AI127:AI136)</f>
        <v>129000</v>
      </c>
      <c r="AJ137" s="374">
        <f>SUM(AJ127:AJ136)</f>
        <v>117500</v>
      </c>
      <c r="AK137" s="719"/>
      <c r="AM137" s="106"/>
      <c r="AN137" s="106"/>
    </row>
    <row r="138" spans="1:1026">
      <c r="A138" s="80"/>
      <c r="B138" s="14"/>
      <c r="C138" s="14"/>
      <c r="D138" s="14"/>
      <c r="E138" s="15"/>
      <c r="F138" s="14"/>
      <c r="G138" s="81"/>
      <c r="H138" s="251"/>
      <c r="I138" s="281"/>
      <c r="J138" s="289"/>
      <c r="K138" s="281"/>
      <c r="L138" s="289"/>
      <c r="M138" s="281"/>
      <c r="N138" s="289"/>
      <c r="O138" s="121"/>
      <c r="P138" s="282"/>
      <c r="Q138" s="121"/>
      <c r="R138" s="282"/>
      <c r="S138" s="283"/>
      <c r="T138" s="283"/>
      <c r="U138" s="283"/>
      <c r="V138" s="283"/>
      <c r="W138" s="284"/>
      <c r="X138" s="285"/>
      <c r="Y138" s="286"/>
      <c r="Z138" s="287"/>
      <c r="AA138" s="118"/>
      <c r="AB138" s="287"/>
      <c r="AC138" s="288"/>
      <c r="AD138" s="287"/>
      <c r="AE138" s="288"/>
      <c r="AF138" s="287"/>
      <c r="AG138" s="753"/>
      <c r="AH138" s="287"/>
      <c r="AI138" s="287"/>
      <c r="AJ138" s="287"/>
      <c r="AK138" s="706"/>
      <c r="AM138" s="106"/>
      <c r="AN138" s="106"/>
    </row>
    <row r="139" spans="1:1026">
      <c r="A139" s="66">
        <v>5</v>
      </c>
      <c r="B139" s="67" t="s">
        <v>16</v>
      </c>
      <c r="C139" s="67">
        <v>1</v>
      </c>
      <c r="D139" s="67" t="s">
        <v>16</v>
      </c>
      <c r="E139" s="68" t="s">
        <v>79</v>
      </c>
      <c r="F139" s="67" t="s">
        <v>16</v>
      </c>
      <c r="G139" s="69" t="s">
        <v>70</v>
      </c>
      <c r="H139" s="238" t="s">
        <v>165</v>
      </c>
      <c r="I139" s="239"/>
      <c r="J139" s="240"/>
      <c r="K139" s="239"/>
      <c r="L139" s="240"/>
      <c r="M139" s="239"/>
      <c r="N139" s="240"/>
      <c r="O139" s="241"/>
      <c r="P139" s="242"/>
      <c r="Q139" s="241"/>
      <c r="R139" s="242"/>
      <c r="S139" s="243"/>
      <c r="T139" s="243"/>
      <c r="U139" s="243"/>
      <c r="V139" s="243"/>
      <c r="W139" s="244"/>
      <c r="X139" s="245"/>
      <c r="Y139" s="246"/>
      <c r="Z139" s="247"/>
      <c r="AA139" s="176"/>
      <c r="AB139" s="247"/>
      <c r="AC139" s="248"/>
      <c r="AD139" s="247"/>
      <c r="AE139" s="248"/>
      <c r="AF139" s="247"/>
      <c r="AG139" s="752"/>
      <c r="AH139" s="247"/>
      <c r="AI139" s="247"/>
      <c r="AJ139" s="247"/>
      <c r="AK139" s="710"/>
      <c r="AM139" s="106"/>
      <c r="AN139" s="106"/>
    </row>
    <row r="140" spans="1:1026">
      <c r="A140" s="80">
        <v>5</v>
      </c>
      <c r="B140" s="14" t="s">
        <v>16</v>
      </c>
      <c r="C140" s="14">
        <v>1</v>
      </c>
      <c r="D140" s="14" t="s">
        <v>16</v>
      </c>
      <c r="E140" s="15" t="s">
        <v>79</v>
      </c>
      <c r="F140" s="14" t="s">
        <v>16</v>
      </c>
      <c r="G140" s="81" t="s">
        <v>81</v>
      </c>
      <c r="H140" s="250" t="s">
        <v>166</v>
      </c>
      <c r="I140" s="378">
        <v>15000</v>
      </c>
      <c r="J140" s="379">
        <v>11813.3</v>
      </c>
      <c r="K140" s="380">
        <v>10000</v>
      </c>
      <c r="L140" s="379">
        <v>6594.77</v>
      </c>
      <c r="M140" s="380">
        <v>15000</v>
      </c>
      <c r="N140" s="379">
        <v>7315.64</v>
      </c>
      <c r="O140" s="381">
        <v>15000</v>
      </c>
      <c r="P140" s="382">
        <v>1179.8699999999999</v>
      </c>
      <c r="Q140" s="383">
        <v>10000</v>
      </c>
      <c r="R140" s="382">
        <v>2191.37</v>
      </c>
      <c r="S140" s="384">
        <v>15000</v>
      </c>
      <c r="T140" s="384">
        <v>15000</v>
      </c>
      <c r="U140" s="384">
        <v>-5483.86</v>
      </c>
      <c r="V140" s="384">
        <v>16500</v>
      </c>
      <c r="W140" s="385">
        <v>-8083.86</v>
      </c>
      <c r="X140" s="386">
        <v>10000</v>
      </c>
      <c r="Y140" s="90">
        <v>-4282.2299999999996</v>
      </c>
      <c r="Z140" s="136">
        <v>13000</v>
      </c>
      <c r="AA140" s="137">
        <v>-25578.57</v>
      </c>
      <c r="AB140" s="136">
        <v>13000</v>
      </c>
      <c r="AC140" s="137">
        <v>-25578.57</v>
      </c>
      <c r="AD140" s="136">
        <v>13000</v>
      </c>
      <c r="AE140" s="137">
        <f>-10176.99-1648.2</f>
        <v>-11825.19</v>
      </c>
      <c r="AF140" s="136">
        <v>13000</v>
      </c>
      <c r="AG140" s="138">
        <f>-5747.01-421.25</f>
        <v>-6168.26</v>
      </c>
      <c r="AH140" s="836">
        <v>17000</v>
      </c>
      <c r="AI140" s="836">
        <v>17000</v>
      </c>
      <c r="AJ140" s="1061">
        <v>16000</v>
      </c>
      <c r="AK140" s="840" t="s">
        <v>499</v>
      </c>
      <c r="AM140" s="106"/>
      <c r="AN140" s="106"/>
    </row>
    <row r="141" spans="1:1026">
      <c r="A141" s="80">
        <v>5</v>
      </c>
      <c r="B141" s="14" t="s">
        <v>16</v>
      </c>
      <c r="C141" s="14">
        <v>1</v>
      </c>
      <c r="D141" s="14" t="s">
        <v>16</v>
      </c>
      <c r="E141" s="15" t="s">
        <v>79</v>
      </c>
      <c r="F141" s="14" t="s">
        <v>16</v>
      </c>
      <c r="G141" s="81" t="s">
        <v>84</v>
      </c>
      <c r="H141" s="251" t="s">
        <v>167</v>
      </c>
      <c r="I141" s="387">
        <v>4000</v>
      </c>
      <c r="J141" s="388">
        <v>0</v>
      </c>
      <c r="K141" s="389">
        <v>4000</v>
      </c>
      <c r="L141" s="388">
        <v>1861.37</v>
      </c>
      <c r="M141" s="389">
        <v>4000</v>
      </c>
      <c r="N141" s="388">
        <v>1861.37</v>
      </c>
      <c r="O141" s="390">
        <v>4000</v>
      </c>
      <c r="P141" s="391">
        <v>0</v>
      </c>
      <c r="Q141" s="392">
        <v>0</v>
      </c>
      <c r="R141" s="391">
        <v>0</v>
      </c>
      <c r="S141" s="393">
        <v>0</v>
      </c>
      <c r="T141" s="393">
        <v>0</v>
      </c>
      <c r="U141" s="393">
        <v>0</v>
      </c>
      <c r="V141" s="393">
        <v>0</v>
      </c>
      <c r="W141" s="394">
        <v>0</v>
      </c>
      <c r="X141" s="395">
        <v>0</v>
      </c>
      <c r="Y141" s="102">
        <v>0</v>
      </c>
      <c r="Z141" s="132">
        <v>0</v>
      </c>
      <c r="AA141" s="133">
        <v>0</v>
      </c>
      <c r="AB141" s="132">
        <v>0</v>
      </c>
      <c r="AC141" s="133">
        <v>0</v>
      </c>
      <c r="AD141" s="132">
        <v>0</v>
      </c>
      <c r="AE141" s="133"/>
      <c r="AF141" s="132">
        <v>0</v>
      </c>
      <c r="AG141" s="134"/>
      <c r="AH141" s="132">
        <v>0</v>
      </c>
      <c r="AI141" s="132">
        <v>0</v>
      </c>
      <c r="AJ141" s="132">
        <v>0</v>
      </c>
      <c r="AK141" s="720"/>
      <c r="AM141" s="106"/>
      <c r="AN141" s="106"/>
    </row>
    <row r="142" spans="1:1026">
      <c r="A142" s="80">
        <v>5</v>
      </c>
      <c r="B142" s="14" t="s">
        <v>16</v>
      </c>
      <c r="C142" s="14">
        <v>1</v>
      </c>
      <c r="D142" s="14" t="s">
        <v>16</v>
      </c>
      <c r="E142" s="15" t="s">
        <v>79</v>
      </c>
      <c r="F142" s="14" t="s">
        <v>16</v>
      </c>
      <c r="G142" s="81" t="s">
        <v>86</v>
      </c>
      <c r="H142" s="251" t="s">
        <v>168</v>
      </c>
      <c r="I142" s="387">
        <v>5500</v>
      </c>
      <c r="J142" s="388">
        <v>5220.49</v>
      </c>
      <c r="K142" s="389">
        <v>5500</v>
      </c>
      <c r="L142" s="388">
        <v>693.16</v>
      </c>
      <c r="M142" s="389">
        <v>5500</v>
      </c>
      <c r="N142" s="388">
        <v>693.16</v>
      </c>
      <c r="O142" s="390">
        <v>5500</v>
      </c>
      <c r="P142" s="391">
        <v>0</v>
      </c>
      <c r="Q142" s="392">
        <v>3000</v>
      </c>
      <c r="R142" s="391">
        <v>1550</v>
      </c>
      <c r="S142" s="393">
        <v>5000</v>
      </c>
      <c r="T142" s="393">
        <v>5000</v>
      </c>
      <c r="U142" s="393">
        <v>0</v>
      </c>
      <c r="V142" s="393">
        <v>5000</v>
      </c>
      <c r="W142" s="394">
        <v>-394.8</v>
      </c>
      <c r="X142" s="395">
        <v>5000</v>
      </c>
      <c r="Y142" s="102">
        <v>-34.65</v>
      </c>
      <c r="Z142" s="132">
        <v>5000</v>
      </c>
      <c r="AA142" s="133">
        <v>-228.95</v>
      </c>
      <c r="AB142" s="132">
        <v>5000</v>
      </c>
      <c r="AC142" s="133">
        <v>-228.95</v>
      </c>
      <c r="AD142" s="132">
        <v>5000</v>
      </c>
      <c r="AE142" s="133"/>
      <c r="AF142" s="132">
        <v>5000</v>
      </c>
      <c r="AG142" s="134"/>
      <c r="AH142" s="132">
        <v>5000</v>
      </c>
      <c r="AI142" s="132">
        <v>5000</v>
      </c>
      <c r="AJ142" s="132">
        <v>5000</v>
      </c>
      <c r="AK142" s="706" t="s">
        <v>421</v>
      </c>
      <c r="AM142" s="106"/>
      <c r="AN142" s="106"/>
    </row>
    <row r="143" spans="1:1026">
      <c r="A143" s="80">
        <v>5</v>
      </c>
      <c r="B143" s="14" t="s">
        <v>16</v>
      </c>
      <c r="C143" s="14">
        <v>1</v>
      </c>
      <c r="D143" s="14" t="s">
        <v>16</v>
      </c>
      <c r="E143" s="15" t="s">
        <v>79</v>
      </c>
      <c r="F143" s="14" t="s">
        <v>16</v>
      </c>
      <c r="G143" s="81" t="s">
        <v>73</v>
      </c>
      <c r="H143" s="251" t="s">
        <v>169</v>
      </c>
      <c r="I143" s="122">
        <v>9000</v>
      </c>
      <c r="J143" s="95">
        <v>9000</v>
      </c>
      <c r="K143" s="94">
        <v>9000</v>
      </c>
      <c r="L143" s="95">
        <v>0</v>
      </c>
      <c r="M143" s="94">
        <v>9000</v>
      </c>
      <c r="N143" s="95">
        <v>0</v>
      </c>
      <c r="O143" s="96">
        <v>9000</v>
      </c>
      <c r="P143" s="97">
        <v>9000</v>
      </c>
      <c r="Q143" s="98">
        <v>9000</v>
      </c>
      <c r="R143" s="97">
        <v>9000</v>
      </c>
      <c r="S143" s="99">
        <v>9000</v>
      </c>
      <c r="T143" s="99">
        <v>9000</v>
      </c>
      <c r="U143" s="99">
        <v>-9000</v>
      </c>
      <c r="V143" s="99">
        <v>9000</v>
      </c>
      <c r="W143" s="100">
        <v>-9000</v>
      </c>
      <c r="X143" s="101">
        <v>9000</v>
      </c>
      <c r="Y143" s="102">
        <v>0</v>
      </c>
      <c r="Z143" s="361">
        <v>9000</v>
      </c>
      <c r="AA143" s="358">
        <v>0</v>
      </c>
      <c r="AB143" s="361">
        <v>9000</v>
      </c>
      <c r="AC143" s="358">
        <v>0</v>
      </c>
      <c r="AD143" s="361">
        <v>9000</v>
      </c>
      <c r="AE143" s="358">
        <v>-9000</v>
      </c>
      <c r="AF143" s="361">
        <v>9000</v>
      </c>
      <c r="AG143" s="759">
        <v>-9000</v>
      </c>
      <c r="AH143" s="361">
        <v>9000</v>
      </c>
      <c r="AI143" s="361">
        <v>9000</v>
      </c>
      <c r="AJ143" s="361">
        <v>9000</v>
      </c>
      <c r="AK143" s="721"/>
      <c r="AM143" s="106"/>
      <c r="AN143" s="106"/>
    </row>
    <row r="144" spans="1:1026">
      <c r="A144" s="80">
        <v>5</v>
      </c>
      <c r="B144" s="14" t="s">
        <v>16</v>
      </c>
      <c r="C144" s="14">
        <v>1</v>
      </c>
      <c r="D144" s="14" t="s">
        <v>16</v>
      </c>
      <c r="E144" s="15" t="s">
        <v>79</v>
      </c>
      <c r="F144" s="14" t="s">
        <v>16</v>
      </c>
      <c r="G144" s="81" t="s">
        <v>77</v>
      </c>
      <c r="H144" s="251" t="s">
        <v>170</v>
      </c>
      <c r="I144" s="387">
        <v>30000</v>
      </c>
      <c r="J144" s="388">
        <v>30000</v>
      </c>
      <c r="K144" s="389">
        <v>1500</v>
      </c>
      <c r="L144" s="388">
        <v>0</v>
      </c>
      <c r="M144" s="389">
        <v>1500</v>
      </c>
      <c r="N144" s="388">
        <v>0</v>
      </c>
      <c r="O144" s="390">
        <v>1500</v>
      </c>
      <c r="P144" s="391">
        <v>0</v>
      </c>
      <c r="Q144" s="392">
        <v>1500</v>
      </c>
      <c r="R144" s="391">
        <v>0</v>
      </c>
      <c r="S144" s="393">
        <v>1500</v>
      </c>
      <c r="T144" s="393">
        <v>1500</v>
      </c>
      <c r="U144" s="393">
        <v>0</v>
      </c>
      <c r="V144" s="393">
        <v>1500</v>
      </c>
      <c r="W144" s="394">
        <v>-1500</v>
      </c>
      <c r="X144" s="395">
        <v>1500</v>
      </c>
      <c r="Y144" s="102">
        <v>-1500</v>
      </c>
      <c r="Z144" s="132">
        <v>1500</v>
      </c>
      <c r="AA144" s="133">
        <v>-1500</v>
      </c>
      <c r="AB144" s="132">
        <v>15000</v>
      </c>
      <c r="AC144" s="133">
        <v>-1500</v>
      </c>
      <c r="AD144" s="132">
        <v>15000</v>
      </c>
      <c r="AE144" s="133">
        <v>-15156</v>
      </c>
      <c r="AF144" s="850">
        <v>30000</v>
      </c>
      <c r="AG144" s="134">
        <v>-7500</v>
      </c>
      <c r="AH144" s="850">
        <v>30000</v>
      </c>
      <c r="AI144" s="850">
        <v>30000</v>
      </c>
      <c r="AJ144" s="850">
        <v>30000</v>
      </c>
      <c r="AK144" s="840" t="s">
        <v>171</v>
      </c>
      <c r="AM144" s="106"/>
      <c r="AN144" s="106"/>
    </row>
    <row r="145" spans="1:1026">
      <c r="A145" s="80">
        <v>5</v>
      </c>
      <c r="B145" s="14" t="s">
        <v>16</v>
      </c>
      <c r="C145" s="14">
        <v>1</v>
      </c>
      <c r="D145" s="14" t="s">
        <v>16</v>
      </c>
      <c r="E145" s="15" t="s">
        <v>79</v>
      </c>
      <c r="F145" s="14" t="s">
        <v>16</v>
      </c>
      <c r="G145" s="81" t="s">
        <v>118</v>
      </c>
      <c r="H145" s="107" t="s">
        <v>172</v>
      </c>
      <c r="I145" s="387">
        <v>147</v>
      </c>
      <c r="J145" s="388">
        <v>147</v>
      </c>
      <c r="K145" s="389">
        <v>0</v>
      </c>
      <c r="L145" s="388">
        <v>0</v>
      </c>
      <c r="M145" s="389">
        <v>0</v>
      </c>
      <c r="N145" s="33">
        <v>0</v>
      </c>
      <c r="O145" s="390">
        <v>0</v>
      </c>
      <c r="P145" s="391">
        <v>0</v>
      </c>
      <c r="Q145" s="390">
        <v>0</v>
      </c>
      <c r="R145" s="391">
        <v>0</v>
      </c>
      <c r="S145" s="393">
        <v>0</v>
      </c>
      <c r="T145" s="393">
        <v>0</v>
      </c>
      <c r="U145" s="393">
        <v>0</v>
      </c>
      <c r="V145" s="393">
        <v>0</v>
      </c>
      <c r="W145" s="394">
        <v>0</v>
      </c>
      <c r="X145" s="395">
        <v>0</v>
      </c>
      <c r="Y145" s="102">
        <v>0</v>
      </c>
      <c r="Z145" s="103">
        <v>0</v>
      </c>
      <c r="AA145" s="104">
        <v>0</v>
      </c>
      <c r="AB145" s="103">
        <v>50</v>
      </c>
      <c r="AC145" s="104">
        <v>0</v>
      </c>
      <c r="AD145" s="103">
        <v>50</v>
      </c>
      <c r="AE145" s="104">
        <v>-50</v>
      </c>
      <c r="AF145" s="103">
        <v>50</v>
      </c>
      <c r="AG145" s="666"/>
      <c r="AH145" s="103">
        <v>50</v>
      </c>
      <c r="AI145" s="103">
        <v>50</v>
      </c>
      <c r="AJ145" s="103">
        <v>50</v>
      </c>
      <c r="AK145" s="706"/>
      <c r="AM145" s="106"/>
      <c r="AN145" s="106"/>
    </row>
    <row r="146" spans="1:1026" s="106" customFormat="1" ht="12.75">
      <c r="A146" s="80">
        <v>5</v>
      </c>
      <c r="B146" s="14" t="s">
        <v>16</v>
      </c>
      <c r="C146" s="14">
        <v>1</v>
      </c>
      <c r="D146" s="14" t="s">
        <v>16</v>
      </c>
      <c r="E146" s="15" t="s">
        <v>79</v>
      </c>
      <c r="F146" s="14" t="s">
        <v>16</v>
      </c>
      <c r="G146" s="81" t="s">
        <v>75</v>
      </c>
      <c r="H146" s="251" t="s">
        <v>173</v>
      </c>
      <c r="I146" s="387">
        <v>147</v>
      </c>
      <c r="J146" s="388">
        <v>147</v>
      </c>
      <c r="K146" s="389">
        <v>0</v>
      </c>
      <c r="L146" s="388">
        <v>0</v>
      </c>
      <c r="M146" s="389">
        <v>0</v>
      </c>
      <c r="N146" s="33">
        <v>0</v>
      </c>
      <c r="O146" s="390">
        <v>0</v>
      </c>
      <c r="P146" s="391">
        <v>0</v>
      </c>
      <c r="Q146" s="390">
        <v>0</v>
      </c>
      <c r="R146" s="391">
        <v>0</v>
      </c>
      <c r="S146" s="393">
        <v>0</v>
      </c>
      <c r="T146" s="393">
        <v>0</v>
      </c>
      <c r="U146" s="393">
        <v>0</v>
      </c>
      <c r="V146" s="393">
        <v>0</v>
      </c>
      <c r="W146" s="394">
        <v>0</v>
      </c>
      <c r="X146" s="395">
        <v>0</v>
      </c>
      <c r="Y146" s="102">
        <v>0</v>
      </c>
      <c r="Z146" s="103">
        <v>0</v>
      </c>
      <c r="AA146" s="104">
        <v>0</v>
      </c>
      <c r="AB146" s="103">
        <v>3600</v>
      </c>
      <c r="AC146" s="104">
        <v>0</v>
      </c>
      <c r="AD146" s="103">
        <v>3600</v>
      </c>
      <c r="AE146" s="104">
        <v>-2167.7399999999998</v>
      </c>
      <c r="AF146" s="103">
        <v>3600</v>
      </c>
      <c r="AG146" s="666">
        <v>-955.58</v>
      </c>
      <c r="AH146" s="103">
        <v>3600</v>
      </c>
      <c r="AI146" s="103">
        <v>3600</v>
      </c>
      <c r="AJ146" s="103">
        <v>3600</v>
      </c>
      <c r="AK146" s="706"/>
      <c r="AL146" s="739"/>
    </row>
    <row r="147" spans="1:1026" s="106" customFormat="1" ht="12.75">
      <c r="A147" s="80">
        <v>5</v>
      </c>
      <c r="B147" s="14" t="s">
        <v>16</v>
      </c>
      <c r="C147" s="14">
        <v>1</v>
      </c>
      <c r="D147" s="14" t="s">
        <v>16</v>
      </c>
      <c r="E147" s="15" t="s">
        <v>79</v>
      </c>
      <c r="F147" s="14" t="s">
        <v>16</v>
      </c>
      <c r="G147" s="81" t="s">
        <v>132</v>
      </c>
      <c r="H147" s="251" t="s">
        <v>513</v>
      </c>
      <c r="I147" s="387"/>
      <c r="J147" s="388"/>
      <c r="K147" s="389"/>
      <c r="L147" s="388"/>
      <c r="M147" s="389"/>
      <c r="N147" s="33"/>
      <c r="O147" s="390"/>
      <c r="P147" s="391"/>
      <c r="Q147" s="390"/>
      <c r="R147" s="391"/>
      <c r="S147" s="393"/>
      <c r="T147" s="393"/>
      <c r="U147" s="393"/>
      <c r="V147" s="393"/>
      <c r="W147" s="394"/>
      <c r="X147" s="395"/>
      <c r="Y147" s="102"/>
      <c r="Z147" s="103"/>
      <c r="AA147" s="104"/>
      <c r="AB147" s="103"/>
      <c r="AC147" s="104"/>
      <c r="AD147" s="103">
        <v>10000</v>
      </c>
      <c r="AE147" s="104">
        <v>-5000</v>
      </c>
      <c r="AF147" s="842">
        <v>5000</v>
      </c>
      <c r="AG147" s="666">
        <v>-5000</v>
      </c>
      <c r="AH147" s="842">
        <v>5000</v>
      </c>
      <c r="AI147" s="842">
        <v>5000</v>
      </c>
      <c r="AJ147" s="842">
        <v>5000</v>
      </c>
      <c r="AK147" s="706" t="s">
        <v>460</v>
      </c>
      <c r="AL147" s="739"/>
    </row>
    <row r="148" spans="1:1026" s="900" customFormat="1" ht="25.5">
      <c r="A148" s="80">
        <v>5</v>
      </c>
      <c r="B148" s="14" t="s">
        <v>16</v>
      </c>
      <c r="C148" s="14">
        <v>1</v>
      </c>
      <c r="D148" s="14" t="s">
        <v>16</v>
      </c>
      <c r="E148" s="15" t="s">
        <v>79</v>
      </c>
      <c r="F148" s="14" t="s">
        <v>16</v>
      </c>
      <c r="G148" s="81" t="s">
        <v>132</v>
      </c>
      <c r="H148" s="886" t="s">
        <v>517</v>
      </c>
      <c r="I148" s="1008"/>
      <c r="J148" s="986"/>
      <c r="K148" s="985"/>
      <c r="L148" s="986"/>
      <c r="M148" s="985"/>
      <c r="N148" s="1009"/>
      <c r="O148" s="987"/>
      <c r="P148" s="988"/>
      <c r="Q148" s="987"/>
      <c r="R148" s="988"/>
      <c r="S148" s="990"/>
      <c r="T148" s="990"/>
      <c r="U148" s="990"/>
      <c r="V148" s="990"/>
      <c r="W148" s="991"/>
      <c r="X148" s="1006"/>
      <c r="Y148" s="934"/>
      <c r="Z148" s="935"/>
      <c r="AA148" s="936"/>
      <c r="AB148" s="935"/>
      <c r="AC148" s="936"/>
      <c r="AD148" s="935"/>
      <c r="AE148" s="936"/>
      <c r="AF148" s="935"/>
      <c r="AG148" s="937"/>
      <c r="AH148" s="935"/>
      <c r="AI148" s="935">
        <v>250</v>
      </c>
      <c r="AJ148" s="935">
        <v>250</v>
      </c>
      <c r="AK148" s="907" t="s">
        <v>532</v>
      </c>
      <c r="AL148" s="1010"/>
    </row>
    <row r="149" spans="1:1026">
      <c r="A149" s="80">
        <v>5</v>
      </c>
      <c r="B149" s="14" t="s">
        <v>16</v>
      </c>
      <c r="C149" s="14">
        <v>1</v>
      </c>
      <c r="D149" s="14" t="s">
        <v>16</v>
      </c>
      <c r="E149" s="15" t="s">
        <v>79</v>
      </c>
      <c r="F149" s="14" t="s">
        <v>16</v>
      </c>
      <c r="G149" s="81" t="s">
        <v>90</v>
      </c>
      <c r="H149" s="251" t="s">
        <v>174</v>
      </c>
      <c r="I149" s="396">
        <v>0</v>
      </c>
      <c r="J149" s="397"/>
      <c r="K149" s="396">
        <v>0</v>
      </c>
      <c r="L149" s="397">
        <v>50</v>
      </c>
      <c r="M149" s="396">
        <v>200</v>
      </c>
      <c r="N149" s="388">
        <v>50</v>
      </c>
      <c r="O149" s="322">
        <v>1100</v>
      </c>
      <c r="P149" s="391">
        <v>0</v>
      </c>
      <c r="Q149" s="322">
        <v>1100</v>
      </c>
      <c r="R149" s="391">
        <v>50</v>
      </c>
      <c r="S149" s="324">
        <v>1100</v>
      </c>
      <c r="T149" s="324">
        <v>1100</v>
      </c>
      <c r="U149" s="324">
        <v>0</v>
      </c>
      <c r="V149" s="324">
        <v>1100</v>
      </c>
      <c r="W149" s="325">
        <v>-50</v>
      </c>
      <c r="X149" s="326">
        <v>50</v>
      </c>
      <c r="Y149" s="116">
        <v>0</v>
      </c>
      <c r="Z149" s="117">
        <v>1300</v>
      </c>
      <c r="AA149" s="118">
        <v>-1350</v>
      </c>
      <c r="AB149" s="117">
        <v>1300</v>
      </c>
      <c r="AC149" s="118">
        <v>-1300</v>
      </c>
      <c r="AD149" s="117">
        <v>1300</v>
      </c>
      <c r="AE149" s="118">
        <v>-1300</v>
      </c>
      <c r="AF149" s="117">
        <v>1300</v>
      </c>
      <c r="AG149" s="745"/>
      <c r="AH149" s="117">
        <v>1300</v>
      </c>
      <c r="AI149" s="117">
        <v>1300</v>
      </c>
      <c r="AJ149" s="117">
        <v>1300</v>
      </c>
      <c r="AK149" s="706" t="s">
        <v>175</v>
      </c>
      <c r="AM149" s="106"/>
      <c r="AN149" s="106"/>
    </row>
    <row r="150" spans="1:1026" s="902" customFormat="1">
      <c r="A150" s="882">
        <v>5</v>
      </c>
      <c r="B150" s="883" t="s">
        <v>16</v>
      </c>
      <c r="C150" s="883">
        <v>1</v>
      </c>
      <c r="D150" s="883" t="s">
        <v>16</v>
      </c>
      <c r="E150" s="884" t="s">
        <v>79</v>
      </c>
      <c r="F150" s="883" t="s">
        <v>16</v>
      </c>
      <c r="G150" s="885" t="s">
        <v>139</v>
      </c>
      <c r="H150" s="886" t="s">
        <v>511</v>
      </c>
      <c r="I150" s="887"/>
      <c r="J150" s="1002"/>
      <c r="K150" s="887"/>
      <c r="L150" s="1002"/>
      <c r="M150" s="887"/>
      <c r="N150" s="986"/>
      <c r="O150" s="890"/>
      <c r="P150" s="988"/>
      <c r="Q150" s="890"/>
      <c r="R150" s="988"/>
      <c r="S150" s="891"/>
      <c r="T150" s="891"/>
      <c r="U150" s="891"/>
      <c r="V150" s="891"/>
      <c r="W150" s="903"/>
      <c r="X150" s="904"/>
      <c r="Y150" s="895"/>
      <c r="Z150" s="909"/>
      <c r="AA150" s="910"/>
      <c r="AB150" s="909"/>
      <c r="AC150" s="910"/>
      <c r="AD150" s="909"/>
      <c r="AE150" s="910"/>
      <c r="AF150" s="909"/>
      <c r="AG150" s="911"/>
      <c r="AH150" s="909"/>
      <c r="AI150" s="909">
        <v>100</v>
      </c>
      <c r="AJ150" s="909">
        <v>100</v>
      </c>
      <c r="AK150" s="907" t="s">
        <v>512</v>
      </c>
      <c r="AL150" s="899"/>
      <c r="AM150" s="900"/>
      <c r="AN150" s="900"/>
      <c r="AO150" s="901"/>
      <c r="AP150" s="901"/>
      <c r="AQ150" s="901"/>
      <c r="AR150" s="901"/>
      <c r="AS150" s="901"/>
      <c r="AT150" s="901"/>
      <c r="AU150" s="901"/>
      <c r="AV150" s="901"/>
      <c r="AW150" s="901"/>
      <c r="AX150" s="901"/>
      <c r="AY150" s="901"/>
      <c r="AZ150" s="901"/>
      <c r="BA150" s="901"/>
      <c r="BB150" s="901"/>
      <c r="BC150" s="901"/>
      <c r="BD150" s="901"/>
      <c r="BE150" s="901"/>
      <c r="BF150" s="901"/>
      <c r="BG150" s="901"/>
      <c r="BH150" s="901"/>
      <c r="BI150" s="901"/>
      <c r="BJ150" s="901"/>
      <c r="BK150" s="901"/>
      <c r="BL150" s="901"/>
      <c r="BM150" s="901"/>
      <c r="BN150" s="901"/>
      <c r="BO150" s="901"/>
      <c r="BP150" s="901"/>
      <c r="BQ150" s="901"/>
      <c r="BR150" s="901"/>
      <c r="BS150" s="901"/>
      <c r="BT150" s="901"/>
      <c r="BU150" s="901"/>
      <c r="BV150" s="901"/>
      <c r="BW150" s="901"/>
      <c r="BX150" s="901"/>
      <c r="BY150" s="901"/>
      <c r="BZ150" s="901"/>
      <c r="CA150" s="901"/>
      <c r="CB150" s="901"/>
      <c r="CC150" s="901"/>
      <c r="CD150" s="901"/>
      <c r="CE150" s="901"/>
      <c r="CF150" s="901"/>
      <c r="CG150" s="901"/>
      <c r="CH150" s="901"/>
      <c r="CI150" s="901"/>
      <c r="CJ150" s="901"/>
      <c r="CK150" s="901"/>
      <c r="CL150" s="901"/>
      <c r="CM150" s="901"/>
      <c r="CN150" s="901"/>
      <c r="CO150" s="901"/>
      <c r="CP150" s="901"/>
      <c r="CQ150" s="901"/>
      <c r="CR150" s="901"/>
      <c r="CS150" s="901"/>
      <c r="CT150" s="901"/>
      <c r="CU150" s="901"/>
      <c r="CV150" s="901"/>
      <c r="CW150" s="901"/>
      <c r="CX150" s="901"/>
      <c r="CY150" s="901"/>
      <c r="CZ150" s="901"/>
      <c r="DA150" s="901"/>
      <c r="DB150" s="901"/>
      <c r="DC150" s="901"/>
      <c r="DD150" s="901"/>
      <c r="DE150" s="901"/>
      <c r="DF150" s="901"/>
      <c r="DG150" s="901"/>
      <c r="DH150" s="901"/>
      <c r="DI150" s="901"/>
      <c r="DJ150" s="901"/>
      <c r="DK150" s="901"/>
      <c r="DL150" s="901"/>
      <c r="DM150" s="901"/>
      <c r="DN150" s="901"/>
      <c r="DO150" s="901"/>
      <c r="DP150" s="901"/>
      <c r="DQ150" s="901"/>
      <c r="DR150" s="901"/>
      <c r="DS150" s="901"/>
      <c r="DT150" s="901"/>
      <c r="DU150" s="901"/>
      <c r="DV150" s="901"/>
      <c r="DW150" s="901"/>
      <c r="DX150" s="901"/>
      <c r="DY150" s="901"/>
      <c r="DZ150" s="901"/>
      <c r="EA150" s="901"/>
      <c r="EB150" s="901"/>
      <c r="EC150" s="901"/>
      <c r="ED150" s="901"/>
      <c r="EE150" s="901"/>
      <c r="EF150" s="901"/>
      <c r="EG150" s="901"/>
      <c r="EH150" s="901"/>
      <c r="EI150" s="901"/>
      <c r="EJ150" s="901"/>
      <c r="EK150" s="901"/>
      <c r="EL150" s="901"/>
      <c r="EM150" s="901"/>
      <c r="EN150" s="901"/>
      <c r="EO150" s="901"/>
      <c r="EP150" s="901"/>
      <c r="EQ150" s="901"/>
      <c r="ER150" s="901"/>
      <c r="ES150" s="901"/>
      <c r="ET150" s="901"/>
      <c r="EU150" s="901"/>
      <c r="EV150" s="901"/>
      <c r="EW150" s="901"/>
      <c r="EX150" s="901"/>
      <c r="EY150" s="901"/>
      <c r="EZ150" s="901"/>
      <c r="FA150" s="901"/>
      <c r="FB150" s="901"/>
      <c r="FC150" s="901"/>
      <c r="FD150" s="901"/>
      <c r="FE150" s="901"/>
      <c r="FF150" s="901"/>
      <c r="FG150" s="901"/>
      <c r="FH150" s="901"/>
      <c r="FI150" s="901"/>
      <c r="FJ150" s="901"/>
      <c r="FK150" s="901"/>
      <c r="FL150" s="901"/>
      <c r="FM150" s="901"/>
      <c r="FN150" s="901"/>
      <c r="FO150" s="901"/>
      <c r="FP150" s="901"/>
      <c r="FQ150" s="901"/>
      <c r="FR150" s="901"/>
      <c r="FS150" s="901"/>
      <c r="FT150" s="901"/>
      <c r="FU150" s="901"/>
      <c r="FV150" s="901"/>
      <c r="FW150" s="901"/>
      <c r="FX150" s="901"/>
      <c r="FY150" s="901"/>
      <c r="FZ150" s="901"/>
      <c r="GA150" s="901"/>
      <c r="GB150" s="901"/>
      <c r="GC150" s="901"/>
      <c r="GD150" s="901"/>
      <c r="GE150" s="901"/>
      <c r="GF150" s="901"/>
      <c r="GG150" s="901"/>
      <c r="GH150" s="901"/>
      <c r="GI150" s="901"/>
      <c r="GJ150" s="901"/>
      <c r="GK150" s="901"/>
      <c r="GL150" s="901"/>
      <c r="GM150" s="901"/>
      <c r="GN150" s="901"/>
      <c r="GO150" s="901"/>
      <c r="GP150" s="901"/>
      <c r="GQ150" s="901"/>
      <c r="GR150" s="901"/>
      <c r="GS150" s="901"/>
      <c r="GT150" s="901"/>
      <c r="GU150" s="901"/>
      <c r="GV150" s="901"/>
      <c r="GW150" s="901"/>
      <c r="GX150" s="901"/>
      <c r="GY150" s="901"/>
      <c r="GZ150" s="901"/>
      <c r="HA150" s="901"/>
      <c r="HB150" s="901"/>
      <c r="HC150" s="901"/>
      <c r="HD150" s="901"/>
      <c r="HE150" s="901"/>
      <c r="HF150" s="901"/>
      <c r="HG150" s="901"/>
      <c r="HH150" s="901"/>
      <c r="HI150" s="901"/>
      <c r="HJ150" s="901"/>
      <c r="HK150" s="901"/>
      <c r="HL150" s="901"/>
      <c r="HM150" s="901"/>
      <c r="HN150" s="901"/>
      <c r="HO150" s="901"/>
      <c r="HP150" s="901"/>
      <c r="HQ150" s="901"/>
      <c r="HR150" s="901"/>
      <c r="HS150" s="901"/>
      <c r="HT150" s="901"/>
      <c r="HU150" s="901"/>
      <c r="HV150" s="901"/>
      <c r="HW150" s="901"/>
      <c r="HX150" s="901"/>
      <c r="HY150" s="901"/>
      <c r="HZ150" s="901"/>
      <c r="IA150" s="901"/>
      <c r="IB150" s="901"/>
      <c r="IC150" s="901"/>
      <c r="ID150" s="901"/>
      <c r="IE150" s="901"/>
      <c r="IF150" s="901"/>
      <c r="IG150" s="901"/>
      <c r="IH150" s="901"/>
      <c r="II150" s="901"/>
      <c r="IJ150" s="901"/>
      <c r="IK150" s="901"/>
      <c r="IL150" s="901"/>
      <c r="IM150" s="901"/>
      <c r="IN150" s="901"/>
      <c r="IO150" s="901"/>
      <c r="IP150" s="901"/>
      <c r="IQ150" s="901"/>
      <c r="IR150" s="901"/>
      <c r="IS150" s="901"/>
      <c r="IT150" s="901"/>
      <c r="IU150" s="901"/>
      <c r="IV150" s="901"/>
      <c r="IW150" s="901"/>
      <c r="IX150" s="901"/>
      <c r="IY150" s="901"/>
      <c r="IZ150" s="901"/>
      <c r="JA150" s="901"/>
      <c r="JB150" s="901"/>
      <c r="JC150" s="901"/>
      <c r="JD150" s="901"/>
      <c r="JE150" s="901"/>
      <c r="JF150" s="901"/>
      <c r="JG150" s="901"/>
      <c r="JH150" s="901"/>
      <c r="JI150" s="901"/>
      <c r="JJ150" s="901"/>
      <c r="JK150" s="901"/>
      <c r="JL150" s="901"/>
      <c r="JM150" s="901"/>
      <c r="JN150" s="901"/>
      <c r="JO150" s="901"/>
      <c r="JP150" s="901"/>
      <c r="JQ150" s="901"/>
      <c r="JR150" s="901"/>
      <c r="JS150" s="901"/>
      <c r="JT150" s="901"/>
      <c r="JU150" s="901"/>
      <c r="JV150" s="901"/>
      <c r="JW150" s="901"/>
      <c r="JX150" s="901"/>
      <c r="JY150" s="901"/>
      <c r="JZ150" s="901"/>
      <c r="KA150" s="901"/>
      <c r="KB150" s="901"/>
      <c r="KC150" s="901"/>
      <c r="KD150" s="901"/>
      <c r="KE150" s="901"/>
      <c r="KF150" s="901"/>
      <c r="KG150" s="901"/>
      <c r="KH150" s="901"/>
      <c r="KI150" s="901"/>
      <c r="KJ150" s="901"/>
      <c r="KK150" s="901"/>
      <c r="KL150" s="901"/>
      <c r="KM150" s="901"/>
      <c r="KN150" s="901"/>
      <c r="KO150" s="901"/>
      <c r="KP150" s="901"/>
      <c r="KQ150" s="901"/>
      <c r="KR150" s="901"/>
      <c r="KS150" s="901"/>
      <c r="KT150" s="901"/>
      <c r="KU150" s="901"/>
      <c r="KV150" s="901"/>
      <c r="KW150" s="901"/>
      <c r="KX150" s="901"/>
      <c r="KY150" s="901"/>
      <c r="KZ150" s="901"/>
      <c r="LA150" s="901"/>
      <c r="LB150" s="901"/>
      <c r="LC150" s="901"/>
      <c r="LD150" s="901"/>
      <c r="LE150" s="901"/>
      <c r="LF150" s="901"/>
      <c r="LG150" s="901"/>
      <c r="LH150" s="901"/>
      <c r="LI150" s="901"/>
      <c r="LJ150" s="901"/>
      <c r="LK150" s="901"/>
      <c r="LL150" s="901"/>
      <c r="LM150" s="901"/>
      <c r="LN150" s="901"/>
      <c r="LO150" s="901"/>
      <c r="LP150" s="901"/>
      <c r="LQ150" s="901"/>
      <c r="LR150" s="901"/>
      <c r="LS150" s="901"/>
      <c r="LT150" s="901"/>
      <c r="LU150" s="901"/>
      <c r="LV150" s="901"/>
      <c r="LW150" s="901"/>
      <c r="LX150" s="901"/>
      <c r="LY150" s="901"/>
      <c r="LZ150" s="901"/>
      <c r="MA150" s="901"/>
      <c r="MB150" s="901"/>
      <c r="MC150" s="901"/>
      <c r="MD150" s="901"/>
      <c r="ME150" s="901"/>
      <c r="MF150" s="901"/>
      <c r="MG150" s="901"/>
      <c r="MH150" s="901"/>
      <c r="MI150" s="901"/>
      <c r="MJ150" s="901"/>
      <c r="MK150" s="901"/>
      <c r="ML150" s="901"/>
      <c r="MM150" s="901"/>
      <c r="MN150" s="901"/>
      <c r="MO150" s="901"/>
      <c r="MP150" s="901"/>
      <c r="MQ150" s="901"/>
      <c r="MR150" s="901"/>
      <c r="MS150" s="901"/>
      <c r="MT150" s="901"/>
      <c r="MU150" s="901"/>
      <c r="MV150" s="901"/>
      <c r="MW150" s="901"/>
      <c r="MX150" s="901"/>
      <c r="MY150" s="901"/>
      <c r="MZ150" s="901"/>
      <c r="NA150" s="901"/>
      <c r="NB150" s="901"/>
      <c r="NC150" s="901"/>
      <c r="ND150" s="901"/>
      <c r="NE150" s="901"/>
      <c r="NF150" s="901"/>
      <c r="NG150" s="901"/>
      <c r="NH150" s="901"/>
      <c r="NI150" s="901"/>
      <c r="NJ150" s="901"/>
      <c r="NK150" s="901"/>
      <c r="NL150" s="901"/>
      <c r="NM150" s="901"/>
      <c r="NN150" s="901"/>
      <c r="NO150" s="901"/>
      <c r="NP150" s="901"/>
      <c r="NQ150" s="901"/>
      <c r="NR150" s="901"/>
      <c r="NS150" s="901"/>
      <c r="NT150" s="901"/>
      <c r="NU150" s="901"/>
      <c r="NV150" s="901"/>
      <c r="NW150" s="901"/>
      <c r="NX150" s="901"/>
      <c r="NY150" s="901"/>
      <c r="NZ150" s="901"/>
      <c r="OA150" s="901"/>
      <c r="OB150" s="901"/>
      <c r="OC150" s="901"/>
      <c r="OD150" s="901"/>
      <c r="OE150" s="901"/>
      <c r="OF150" s="901"/>
      <c r="OG150" s="901"/>
      <c r="OH150" s="901"/>
      <c r="OI150" s="901"/>
      <c r="OJ150" s="901"/>
      <c r="OK150" s="901"/>
      <c r="OL150" s="901"/>
      <c r="OM150" s="901"/>
      <c r="ON150" s="901"/>
      <c r="OO150" s="901"/>
      <c r="OP150" s="901"/>
      <c r="OQ150" s="901"/>
      <c r="OR150" s="901"/>
      <c r="OS150" s="901"/>
      <c r="OT150" s="901"/>
      <c r="OU150" s="901"/>
      <c r="OV150" s="901"/>
      <c r="OW150" s="901"/>
      <c r="OX150" s="901"/>
      <c r="OY150" s="901"/>
      <c r="OZ150" s="901"/>
      <c r="PA150" s="901"/>
      <c r="PB150" s="901"/>
      <c r="PC150" s="901"/>
      <c r="PD150" s="901"/>
      <c r="PE150" s="901"/>
      <c r="PF150" s="901"/>
      <c r="PG150" s="901"/>
      <c r="PH150" s="901"/>
      <c r="PI150" s="901"/>
      <c r="PJ150" s="901"/>
      <c r="PK150" s="901"/>
      <c r="PL150" s="901"/>
      <c r="PM150" s="901"/>
      <c r="PN150" s="901"/>
      <c r="PO150" s="901"/>
      <c r="PP150" s="901"/>
      <c r="PQ150" s="901"/>
      <c r="PR150" s="901"/>
      <c r="PS150" s="901"/>
      <c r="PT150" s="901"/>
      <c r="PU150" s="901"/>
      <c r="PV150" s="901"/>
      <c r="PW150" s="901"/>
      <c r="PX150" s="901"/>
      <c r="PY150" s="901"/>
      <c r="PZ150" s="901"/>
      <c r="QA150" s="901"/>
      <c r="QB150" s="901"/>
      <c r="QC150" s="901"/>
      <c r="QD150" s="901"/>
      <c r="QE150" s="901"/>
      <c r="QF150" s="901"/>
      <c r="QG150" s="901"/>
      <c r="QH150" s="901"/>
      <c r="QI150" s="901"/>
      <c r="QJ150" s="901"/>
      <c r="QK150" s="901"/>
      <c r="QL150" s="901"/>
      <c r="QM150" s="901"/>
      <c r="QN150" s="901"/>
      <c r="QO150" s="901"/>
      <c r="QP150" s="901"/>
      <c r="QQ150" s="901"/>
      <c r="QR150" s="901"/>
      <c r="QS150" s="901"/>
      <c r="QT150" s="901"/>
      <c r="QU150" s="901"/>
      <c r="QV150" s="901"/>
      <c r="QW150" s="901"/>
      <c r="QX150" s="901"/>
      <c r="QY150" s="901"/>
      <c r="QZ150" s="901"/>
      <c r="RA150" s="901"/>
      <c r="RB150" s="901"/>
      <c r="RC150" s="901"/>
      <c r="RD150" s="901"/>
      <c r="RE150" s="901"/>
      <c r="RF150" s="901"/>
      <c r="RG150" s="901"/>
      <c r="RH150" s="901"/>
      <c r="RI150" s="901"/>
      <c r="RJ150" s="901"/>
      <c r="RK150" s="901"/>
      <c r="RL150" s="901"/>
      <c r="RM150" s="901"/>
      <c r="RN150" s="901"/>
      <c r="RO150" s="901"/>
      <c r="RP150" s="901"/>
      <c r="RQ150" s="901"/>
      <c r="RR150" s="901"/>
      <c r="RS150" s="901"/>
      <c r="RT150" s="901"/>
      <c r="RU150" s="901"/>
      <c r="RV150" s="901"/>
      <c r="RW150" s="901"/>
      <c r="RX150" s="901"/>
      <c r="RY150" s="901"/>
      <c r="RZ150" s="901"/>
      <c r="SA150" s="901"/>
      <c r="SB150" s="901"/>
      <c r="SC150" s="901"/>
      <c r="SD150" s="901"/>
      <c r="SE150" s="901"/>
      <c r="SF150" s="901"/>
      <c r="SG150" s="901"/>
      <c r="SH150" s="901"/>
      <c r="SI150" s="901"/>
      <c r="SJ150" s="901"/>
      <c r="SK150" s="901"/>
      <c r="SL150" s="901"/>
      <c r="SM150" s="901"/>
      <c r="SN150" s="901"/>
      <c r="SO150" s="901"/>
      <c r="SP150" s="901"/>
      <c r="SQ150" s="901"/>
      <c r="SR150" s="901"/>
      <c r="SS150" s="901"/>
      <c r="ST150" s="901"/>
      <c r="SU150" s="901"/>
      <c r="SV150" s="901"/>
      <c r="SW150" s="901"/>
      <c r="SX150" s="901"/>
      <c r="SY150" s="901"/>
      <c r="SZ150" s="901"/>
      <c r="TA150" s="901"/>
      <c r="TB150" s="901"/>
      <c r="TC150" s="901"/>
      <c r="TD150" s="901"/>
      <c r="TE150" s="901"/>
      <c r="TF150" s="901"/>
      <c r="TG150" s="901"/>
      <c r="TH150" s="901"/>
      <c r="TI150" s="901"/>
      <c r="TJ150" s="901"/>
      <c r="TK150" s="901"/>
      <c r="TL150" s="901"/>
      <c r="TM150" s="901"/>
      <c r="TN150" s="901"/>
      <c r="TO150" s="901"/>
      <c r="TP150" s="901"/>
      <c r="TQ150" s="901"/>
      <c r="TR150" s="901"/>
      <c r="TS150" s="901"/>
      <c r="TT150" s="901"/>
      <c r="TU150" s="901"/>
      <c r="TV150" s="901"/>
      <c r="TW150" s="901"/>
      <c r="TX150" s="901"/>
      <c r="TY150" s="901"/>
      <c r="TZ150" s="901"/>
      <c r="UA150" s="901"/>
      <c r="UB150" s="901"/>
      <c r="UC150" s="901"/>
      <c r="UD150" s="901"/>
      <c r="UE150" s="901"/>
      <c r="UF150" s="901"/>
      <c r="UG150" s="901"/>
      <c r="UH150" s="901"/>
      <c r="UI150" s="901"/>
      <c r="UJ150" s="901"/>
      <c r="UK150" s="901"/>
      <c r="UL150" s="901"/>
      <c r="UM150" s="901"/>
      <c r="UN150" s="901"/>
      <c r="UO150" s="901"/>
      <c r="UP150" s="901"/>
      <c r="UQ150" s="901"/>
      <c r="UR150" s="901"/>
      <c r="US150" s="901"/>
      <c r="UT150" s="901"/>
      <c r="UU150" s="901"/>
      <c r="UV150" s="901"/>
      <c r="UW150" s="901"/>
      <c r="UX150" s="901"/>
      <c r="UY150" s="901"/>
      <c r="UZ150" s="901"/>
      <c r="VA150" s="901"/>
      <c r="VB150" s="901"/>
      <c r="VC150" s="901"/>
      <c r="VD150" s="901"/>
      <c r="VE150" s="901"/>
      <c r="VF150" s="901"/>
      <c r="VG150" s="901"/>
      <c r="VH150" s="901"/>
      <c r="VI150" s="901"/>
      <c r="VJ150" s="901"/>
      <c r="VK150" s="901"/>
      <c r="VL150" s="901"/>
      <c r="VM150" s="901"/>
      <c r="VN150" s="901"/>
      <c r="VO150" s="901"/>
      <c r="VP150" s="901"/>
      <c r="VQ150" s="901"/>
      <c r="VR150" s="901"/>
      <c r="VS150" s="901"/>
      <c r="VT150" s="901"/>
      <c r="VU150" s="901"/>
      <c r="VV150" s="901"/>
      <c r="VW150" s="901"/>
      <c r="VX150" s="901"/>
      <c r="VY150" s="901"/>
      <c r="VZ150" s="901"/>
      <c r="WA150" s="901"/>
      <c r="WB150" s="901"/>
      <c r="WC150" s="901"/>
      <c r="WD150" s="901"/>
      <c r="WE150" s="901"/>
      <c r="WF150" s="901"/>
      <c r="WG150" s="901"/>
      <c r="WH150" s="901"/>
      <c r="WI150" s="901"/>
      <c r="WJ150" s="901"/>
      <c r="WK150" s="901"/>
      <c r="WL150" s="901"/>
      <c r="WM150" s="901"/>
      <c r="WN150" s="901"/>
      <c r="WO150" s="901"/>
      <c r="WP150" s="901"/>
      <c r="WQ150" s="901"/>
      <c r="WR150" s="901"/>
      <c r="WS150" s="901"/>
      <c r="WT150" s="901"/>
      <c r="WU150" s="901"/>
      <c r="WV150" s="901"/>
      <c r="WW150" s="901"/>
      <c r="WX150" s="901"/>
      <c r="WY150" s="901"/>
      <c r="WZ150" s="901"/>
      <c r="XA150" s="901"/>
      <c r="XB150" s="901"/>
      <c r="XC150" s="901"/>
      <c r="XD150" s="901"/>
      <c r="XE150" s="901"/>
      <c r="XF150" s="901"/>
      <c r="XG150" s="901"/>
      <c r="XH150" s="901"/>
      <c r="XI150" s="901"/>
      <c r="XJ150" s="901"/>
      <c r="XK150" s="901"/>
      <c r="XL150" s="901"/>
      <c r="XM150" s="901"/>
      <c r="XN150" s="901"/>
      <c r="XO150" s="901"/>
      <c r="XP150" s="901"/>
      <c r="XQ150" s="901"/>
      <c r="XR150" s="901"/>
      <c r="XS150" s="901"/>
      <c r="XT150" s="901"/>
      <c r="XU150" s="901"/>
      <c r="XV150" s="901"/>
      <c r="XW150" s="901"/>
      <c r="XX150" s="901"/>
      <c r="XY150" s="901"/>
      <c r="XZ150" s="901"/>
      <c r="YA150" s="901"/>
      <c r="YB150" s="901"/>
      <c r="YC150" s="901"/>
      <c r="YD150" s="901"/>
      <c r="YE150" s="901"/>
      <c r="YF150" s="901"/>
      <c r="YG150" s="901"/>
      <c r="YH150" s="901"/>
      <c r="YI150" s="901"/>
      <c r="YJ150" s="901"/>
      <c r="YK150" s="901"/>
      <c r="YL150" s="901"/>
      <c r="YM150" s="901"/>
      <c r="YN150" s="901"/>
      <c r="YO150" s="901"/>
      <c r="YP150" s="901"/>
      <c r="YQ150" s="901"/>
      <c r="YR150" s="901"/>
      <c r="YS150" s="901"/>
      <c r="YT150" s="901"/>
      <c r="YU150" s="901"/>
      <c r="YV150" s="901"/>
      <c r="YW150" s="901"/>
      <c r="YX150" s="901"/>
      <c r="YY150" s="901"/>
      <c r="YZ150" s="901"/>
      <c r="ZA150" s="901"/>
      <c r="ZB150" s="901"/>
      <c r="ZC150" s="901"/>
      <c r="ZD150" s="901"/>
      <c r="ZE150" s="901"/>
      <c r="ZF150" s="901"/>
      <c r="ZG150" s="901"/>
      <c r="ZH150" s="901"/>
      <c r="ZI150" s="901"/>
      <c r="ZJ150" s="901"/>
      <c r="ZK150" s="901"/>
      <c r="ZL150" s="901"/>
      <c r="ZM150" s="901"/>
      <c r="ZN150" s="901"/>
      <c r="ZO150" s="901"/>
      <c r="ZP150" s="901"/>
      <c r="ZQ150" s="901"/>
      <c r="ZR150" s="901"/>
      <c r="ZS150" s="901"/>
      <c r="ZT150" s="901"/>
      <c r="ZU150" s="901"/>
      <c r="ZV150" s="901"/>
      <c r="ZW150" s="901"/>
      <c r="ZX150" s="901"/>
      <c r="ZY150" s="901"/>
      <c r="ZZ150" s="901"/>
      <c r="AAA150" s="901"/>
      <c r="AAB150" s="901"/>
      <c r="AAC150" s="901"/>
      <c r="AAD150" s="901"/>
      <c r="AAE150" s="901"/>
      <c r="AAF150" s="901"/>
      <c r="AAG150" s="901"/>
      <c r="AAH150" s="901"/>
      <c r="AAI150" s="901"/>
      <c r="AAJ150" s="901"/>
      <c r="AAK150" s="901"/>
      <c r="AAL150" s="901"/>
      <c r="AAM150" s="901"/>
      <c r="AAN150" s="901"/>
      <c r="AAO150" s="901"/>
      <c r="AAP150" s="901"/>
      <c r="AAQ150" s="901"/>
      <c r="AAR150" s="901"/>
      <c r="AAS150" s="901"/>
      <c r="AAT150" s="901"/>
      <c r="AAU150" s="901"/>
      <c r="AAV150" s="901"/>
      <c r="AAW150" s="901"/>
      <c r="AAX150" s="901"/>
      <c r="AAY150" s="901"/>
      <c r="AAZ150" s="901"/>
      <c r="ABA150" s="901"/>
      <c r="ABB150" s="901"/>
      <c r="ABC150" s="901"/>
      <c r="ABD150" s="901"/>
      <c r="ABE150" s="901"/>
      <c r="ABF150" s="901"/>
      <c r="ABG150" s="901"/>
      <c r="ABH150" s="901"/>
      <c r="ABI150" s="901"/>
      <c r="ABJ150" s="901"/>
      <c r="ABK150" s="901"/>
      <c r="ABL150" s="901"/>
      <c r="ABM150" s="901"/>
      <c r="ABN150" s="901"/>
      <c r="ABO150" s="901"/>
      <c r="ABP150" s="901"/>
      <c r="ABQ150" s="901"/>
      <c r="ABR150" s="901"/>
      <c r="ABS150" s="901"/>
      <c r="ABT150" s="901"/>
      <c r="ABU150" s="901"/>
      <c r="ABV150" s="901"/>
      <c r="ABW150" s="901"/>
      <c r="ABX150" s="901"/>
      <c r="ABY150" s="901"/>
      <c r="ABZ150" s="901"/>
      <c r="ACA150" s="901"/>
      <c r="ACB150" s="901"/>
      <c r="ACC150" s="901"/>
      <c r="ACD150" s="901"/>
      <c r="ACE150" s="901"/>
      <c r="ACF150" s="901"/>
      <c r="ACG150" s="901"/>
      <c r="ACH150" s="901"/>
      <c r="ACI150" s="901"/>
      <c r="ACJ150" s="901"/>
      <c r="ACK150" s="901"/>
      <c r="ACL150" s="901"/>
      <c r="ACM150" s="901"/>
      <c r="ACN150" s="901"/>
      <c r="ACO150" s="901"/>
      <c r="ACP150" s="901"/>
      <c r="ACQ150" s="901"/>
      <c r="ACR150" s="901"/>
      <c r="ACS150" s="901"/>
      <c r="ACT150" s="901"/>
      <c r="ACU150" s="901"/>
      <c r="ACV150" s="901"/>
      <c r="ACW150" s="901"/>
      <c r="ACX150" s="901"/>
      <c r="ACY150" s="901"/>
      <c r="ACZ150" s="901"/>
      <c r="ADA150" s="901"/>
      <c r="ADB150" s="901"/>
      <c r="ADC150" s="901"/>
      <c r="ADD150" s="901"/>
      <c r="ADE150" s="901"/>
      <c r="ADF150" s="901"/>
      <c r="ADG150" s="901"/>
      <c r="ADH150" s="901"/>
      <c r="ADI150" s="901"/>
      <c r="ADJ150" s="901"/>
      <c r="ADK150" s="901"/>
      <c r="ADL150" s="901"/>
      <c r="ADM150" s="901"/>
      <c r="ADN150" s="901"/>
      <c r="ADO150" s="901"/>
      <c r="ADP150" s="901"/>
      <c r="ADQ150" s="901"/>
      <c r="ADR150" s="901"/>
      <c r="ADS150" s="901"/>
      <c r="ADT150" s="901"/>
      <c r="ADU150" s="901"/>
      <c r="ADV150" s="901"/>
      <c r="ADW150" s="901"/>
      <c r="ADX150" s="901"/>
      <c r="ADY150" s="901"/>
      <c r="ADZ150" s="901"/>
      <c r="AEA150" s="901"/>
      <c r="AEB150" s="901"/>
      <c r="AEC150" s="901"/>
      <c r="AED150" s="901"/>
      <c r="AEE150" s="901"/>
      <c r="AEF150" s="901"/>
      <c r="AEG150" s="901"/>
      <c r="AEH150" s="901"/>
      <c r="AEI150" s="901"/>
      <c r="AEJ150" s="901"/>
      <c r="AEK150" s="901"/>
      <c r="AEL150" s="901"/>
      <c r="AEM150" s="901"/>
      <c r="AEN150" s="901"/>
      <c r="AEO150" s="901"/>
      <c r="AEP150" s="901"/>
      <c r="AEQ150" s="901"/>
      <c r="AER150" s="901"/>
      <c r="AES150" s="901"/>
      <c r="AET150" s="901"/>
      <c r="AEU150" s="901"/>
      <c r="AEV150" s="901"/>
      <c r="AEW150" s="901"/>
      <c r="AEX150" s="901"/>
      <c r="AEY150" s="901"/>
      <c r="AEZ150" s="901"/>
      <c r="AFA150" s="901"/>
      <c r="AFB150" s="901"/>
      <c r="AFC150" s="901"/>
      <c r="AFD150" s="901"/>
      <c r="AFE150" s="901"/>
      <c r="AFF150" s="901"/>
      <c r="AFG150" s="901"/>
      <c r="AFH150" s="901"/>
      <c r="AFI150" s="901"/>
      <c r="AFJ150" s="901"/>
      <c r="AFK150" s="901"/>
      <c r="AFL150" s="901"/>
      <c r="AFM150" s="901"/>
      <c r="AFN150" s="901"/>
      <c r="AFO150" s="901"/>
      <c r="AFP150" s="901"/>
      <c r="AFQ150" s="901"/>
      <c r="AFR150" s="901"/>
      <c r="AFS150" s="901"/>
      <c r="AFT150" s="901"/>
      <c r="AFU150" s="901"/>
      <c r="AFV150" s="901"/>
      <c r="AFW150" s="901"/>
      <c r="AFX150" s="901"/>
      <c r="AFY150" s="901"/>
      <c r="AFZ150" s="901"/>
      <c r="AGA150" s="901"/>
      <c r="AGB150" s="901"/>
      <c r="AGC150" s="901"/>
      <c r="AGD150" s="901"/>
      <c r="AGE150" s="901"/>
      <c r="AGF150" s="901"/>
      <c r="AGG150" s="901"/>
      <c r="AGH150" s="901"/>
      <c r="AGI150" s="901"/>
      <c r="AGJ150" s="901"/>
      <c r="AGK150" s="901"/>
      <c r="AGL150" s="901"/>
      <c r="AGM150" s="901"/>
      <c r="AGN150" s="901"/>
      <c r="AGO150" s="901"/>
      <c r="AGP150" s="901"/>
      <c r="AGQ150" s="901"/>
      <c r="AGR150" s="901"/>
      <c r="AGS150" s="901"/>
      <c r="AGT150" s="901"/>
      <c r="AGU150" s="901"/>
      <c r="AGV150" s="901"/>
      <c r="AGW150" s="901"/>
      <c r="AGX150" s="901"/>
      <c r="AGY150" s="901"/>
      <c r="AGZ150" s="901"/>
      <c r="AHA150" s="901"/>
      <c r="AHB150" s="901"/>
      <c r="AHC150" s="901"/>
      <c r="AHD150" s="901"/>
      <c r="AHE150" s="901"/>
      <c r="AHF150" s="901"/>
      <c r="AHG150" s="901"/>
      <c r="AHH150" s="901"/>
      <c r="AHI150" s="901"/>
      <c r="AHJ150" s="901"/>
      <c r="AHK150" s="901"/>
      <c r="AHL150" s="901"/>
      <c r="AHM150" s="901"/>
      <c r="AHN150" s="901"/>
      <c r="AHO150" s="901"/>
      <c r="AHP150" s="901"/>
      <c r="AHQ150" s="901"/>
      <c r="AHR150" s="901"/>
      <c r="AHS150" s="901"/>
      <c r="AHT150" s="901"/>
      <c r="AHU150" s="901"/>
      <c r="AHV150" s="901"/>
      <c r="AHW150" s="901"/>
      <c r="AHX150" s="901"/>
      <c r="AHY150" s="901"/>
      <c r="AHZ150" s="901"/>
      <c r="AIA150" s="901"/>
      <c r="AIB150" s="901"/>
      <c r="AIC150" s="901"/>
      <c r="AID150" s="901"/>
      <c r="AIE150" s="901"/>
      <c r="AIF150" s="901"/>
      <c r="AIG150" s="901"/>
      <c r="AIH150" s="901"/>
      <c r="AII150" s="901"/>
      <c r="AIJ150" s="901"/>
      <c r="AIK150" s="901"/>
      <c r="AIL150" s="901"/>
      <c r="AIM150" s="901"/>
      <c r="AIN150" s="901"/>
      <c r="AIO150" s="901"/>
      <c r="AIP150" s="901"/>
      <c r="AIQ150" s="901"/>
      <c r="AIR150" s="901"/>
      <c r="AIS150" s="901"/>
      <c r="AIT150" s="901"/>
      <c r="AIU150" s="901"/>
      <c r="AIV150" s="901"/>
      <c r="AIW150" s="901"/>
      <c r="AIX150" s="901"/>
      <c r="AIY150" s="901"/>
      <c r="AIZ150" s="901"/>
      <c r="AJA150" s="901"/>
      <c r="AJB150" s="901"/>
      <c r="AJC150" s="901"/>
      <c r="AJD150" s="901"/>
      <c r="AJE150" s="901"/>
      <c r="AJF150" s="901"/>
      <c r="AJG150" s="901"/>
      <c r="AJH150" s="901"/>
      <c r="AJI150" s="901"/>
      <c r="AJJ150" s="901"/>
      <c r="AJK150" s="901"/>
      <c r="AJL150" s="901"/>
      <c r="AJM150" s="901"/>
      <c r="AJN150" s="901"/>
      <c r="AJO150" s="901"/>
      <c r="AJP150" s="901"/>
      <c r="AJQ150" s="901"/>
      <c r="AJR150" s="901"/>
      <c r="AJS150" s="901"/>
      <c r="AJT150" s="901"/>
      <c r="AJU150" s="901"/>
      <c r="AJV150" s="901"/>
      <c r="AJW150" s="901"/>
      <c r="AJX150" s="901"/>
      <c r="AJY150" s="901"/>
      <c r="AJZ150" s="901"/>
      <c r="AKA150" s="901"/>
      <c r="AKB150" s="901"/>
      <c r="AKC150" s="901"/>
      <c r="AKD150" s="901"/>
      <c r="AKE150" s="901"/>
      <c r="AKF150" s="901"/>
      <c r="AKG150" s="901"/>
      <c r="AKH150" s="901"/>
      <c r="AKI150" s="901"/>
      <c r="AKJ150" s="901"/>
      <c r="AKK150" s="901"/>
      <c r="AKL150" s="901"/>
      <c r="AKM150" s="901"/>
      <c r="AKN150" s="901"/>
      <c r="AKO150" s="901"/>
      <c r="AKP150" s="901"/>
      <c r="AKQ150" s="901"/>
      <c r="AKR150" s="901"/>
      <c r="AKS150" s="901"/>
      <c r="AKT150" s="901"/>
      <c r="AKU150" s="901"/>
      <c r="AKV150" s="901"/>
      <c r="AKW150" s="901"/>
      <c r="AKX150" s="901"/>
      <c r="AKY150" s="901"/>
      <c r="AKZ150" s="901"/>
      <c r="ALA150" s="901"/>
      <c r="ALB150" s="901"/>
      <c r="ALC150" s="901"/>
      <c r="ALD150" s="901"/>
      <c r="ALE150" s="901"/>
      <c r="ALF150" s="901"/>
      <c r="ALG150" s="901"/>
      <c r="ALH150" s="901"/>
      <c r="ALI150" s="901"/>
      <c r="ALJ150" s="901"/>
      <c r="ALK150" s="901"/>
      <c r="ALL150" s="901"/>
      <c r="ALM150" s="901"/>
      <c r="ALN150" s="901"/>
      <c r="ALO150" s="901"/>
      <c r="ALP150" s="901"/>
      <c r="ALQ150" s="901"/>
      <c r="ALR150" s="901"/>
      <c r="ALS150" s="901"/>
      <c r="ALT150" s="901"/>
      <c r="ALU150" s="901"/>
      <c r="ALV150" s="901"/>
      <c r="ALW150" s="901"/>
      <c r="ALX150" s="901"/>
      <c r="ALY150" s="901"/>
      <c r="ALZ150" s="901"/>
      <c r="AMA150" s="901"/>
      <c r="AMB150" s="901"/>
      <c r="AMC150" s="901"/>
      <c r="AMD150" s="901"/>
      <c r="AME150" s="901"/>
      <c r="AMF150" s="901"/>
      <c r="AMG150" s="901"/>
      <c r="AMH150" s="901"/>
      <c r="AMI150" s="901"/>
      <c r="AMJ150" s="901"/>
      <c r="AMK150" s="901"/>
      <c r="AML150" s="901"/>
    </row>
    <row r="151" spans="1:1026">
      <c r="A151" s="144"/>
      <c r="B151" s="680"/>
      <c r="C151" s="680"/>
      <c r="D151" s="680"/>
      <c r="E151" s="676"/>
      <c r="F151" s="680"/>
      <c r="G151" s="145"/>
      <c r="H151" s="146" t="s">
        <v>176</v>
      </c>
      <c r="I151" s="368">
        <f t="shared" ref="I151:P151" si="64">SUM(I140:I149)</f>
        <v>63794</v>
      </c>
      <c r="J151" s="369">
        <f t="shared" si="64"/>
        <v>56327.79</v>
      </c>
      <c r="K151" s="368">
        <f t="shared" si="64"/>
        <v>30000</v>
      </c>
      <c r="L151" s="369">
        <f t="shared" si="64"/>
        <v>9199.2999999999993</v>
      </c>
      <c r="M151" s="368">
        <f t="shared" si="64"/>
        <v>35200</v>
      </c>
      <c r="N151" s="369">
        <f t="shared" si="64"/>
        <v>9920.17</v>
      </c>
      <c r="O151" s="370">
        <f t="shared" si="64"/>
        <v>36100</v>
      </c>
      <c r="P151" s="156">
        <f t="shared" si="64"/>
        <v>10179.869999999999</v>
      </c>
      <c r="Q151" s="370">
        <v>24600</v>
      </c>
      <c r="R151" s="156">
        <f>SUM(R140:R149)</f>
        <v>12791.369999999999</v>
      </c>
      <c r="S151" s="371">
        <f>SUM(S140:S149)</f>
        <v>31600</v>
      </c>
      <c r="T151" s="371">
        <f>SUM(T140:T149)</f>
        <v>31600</v>
      </c>
      <c r="U151" s="371"/>
      <c r="V151" s="371">
        <f t="shared" ref="V151:AH151" si="65">SUM(V140:V149)</f>
        <v>33100</v>
      </c>
      <c r="W151" s="398">
        <f t="shared" si="65"/>
        <v>-19028.66</v>
      </c>
      <c r="X151" s="399">
        <f t="shared" si="65"/>
        <v>25550</v>
      </c>
      <c r="Y151" s="400">
        <f t="shared" si="65"/>
        <v>-5816.8799999999992</v>
      </c>
      <c r="Z151" s="399">
        <f t="shared" si="65"/>
        <v>29800</v>
      </c>
      <c r="AA151" s="399">
        <f t="shared" si="65"/>
        <v>-28657.52</v>
      </c>
      <c r="AB151" s="399">
        <f t="shared" si="65"/>
        <v>46950</v>
      </c>
      <c r="AC151" s="401">
        <f t="shared" si="65"/>
        <v>-28607.52</v>
      </c>
      <c r="AD151" s="399">
        <f t="shared" si="65"/>
        <v>56950</v>
      </c>
      <c r="AE151" s="399">
        <f t="shared" si="65"/>
        <v>-44498.93</v>
      </c>
      <c r="AF151" s="399">
        <f t="shared" si="65"/>
        <v>66950</v>
      </c>
      <c r="AG151" s="399">
        <f t="shared" si="65"/>
        <v>-28623.840000000004</v>
      </c>
      <c r="AH151" s="399">
        <f t="shared" si="65"/>
        <v>70950</v>
      </c>
      <c r="AI151" s="399">
        <f t="shared" ref="AI151" si="66">SUM(AI140:AI149)</f>
        <v>71200</v>
      </c>
      <c r="AJ151" s="399">
        <f>SUM(AJ140:AJ150)</f>
        <v>70300</v>
      </c>
      <c r="AK151" s="702"/>
      <c r="AM151" s="106"/>
      <c r="AN151" s="106"/>
    </row>
    <row r="152" spans="1:1026">
      <c r="H152" s="107"/>
      <c r="I152" s="281"/>
      <c r="J152" s="289"/>
      <c r="K152" s="281"/>
      <c r="L152" s="289"/>
      <c r="M152" s="281"/>
      <c r="N152" s="289"/>
      <c r="O152" s="121"/>
      <c r="P152" s="282"/>
      <c r="Q152" s="121"/>
      <c r="R152" s="282"/>
      <c r="S152" s="283"/>
      <c r="T152" s="283"/>
      <c r="U152" s="283"/>
      <c r="V152" s="283"/>
      <c r="W152" s="284"/>
      <c r="X152" s="285"/>
      <c r="Y152" s="286"/>
      <c r="Z152" s="287"/>
      <c r="AA152" s="118"/>
      <c r="AB152" s="287"/>
      <c r="AC152" s="288"/>
      <c r="AD152" s="287"/>
      <c r="AE152" s="288"/>
      <c r="AF152" s="287"/>
      <c r="AG152" s="753"/>
      <c r="AH152" s="287"/>
      <c r="AI152" s="287"/>
      <c r="AJ152" s="287"/>
      <c r="AK152" s="706"/>
      <c r="AM152" s="106"/>
      <c r="AN152" s="106"/>
    </row>
    <row r="153" spans="1:1026">
      <c r="A153" s="66">
        <v>5</v>
      </c>
      <c r="B153" s="67" t="s">
        <v>16</v>
      </c>
      <c r="C153" s="67">
        <v>1</v>
      </c>
      <c r="D153" s="67" t="s">
        <v>16</v>
      </c>
      <c r="E153" s="68" t="s">
        <v>88</v>
      </c>
      <c r="F153" s="67" t="s">
        <v>16</v>
      </c>
      <c r="G153" s="69" t="s">
        <v>70</v>
      </c>
      <c r="H153" s="238" t="s">
        <v>177</v>
      </c>
      <c r="I153" s="239"/>
      <c r="J153" s="240"/>
      <c r="K153" s="239"/>
      <c r="L153" s="240"/>
      <c r="M153" s="239"/>
      <c r="N153" s="240"/>
      <c r="O153" s="239"/>
      <c r="P153" s="240"/>
      <c r="Q153" s="239"/>
      <c r="R153" s="240"/>
      <c r="S153" s="243"/>
      <c r="T153" s="243"/>
      <c r="U153" s="243"/>
      <c r="V153" s="243"/>
      <c r="W153" s="244"/>
      <c r="X153" s="245"/>
      <c r="Y153" s="246"/>
      <c r="Z153" s="247"/>
      <c r="AA153" s="176"/>
      <c r="AB153" s="247"/>
      <c r="AC153" s="248"/>
      <c r="AD153" s="247"/>
      <c r="AE153" s="248"/>
      <c r="AF153" s="247"/>
      <c r="AG153" s="752"/>
      <c r="AH153" s="247"/>
      <c r="AI153" s="247"/>
      <c r="AJ153" s="247"/>
      <c r="AK153" s="710"/>
      <c r="AM153" s="106"/>
      <c r="AN153" s="106"/>
    </row>
    <row r="154" spans="1:1026">
      <c r="A154" s="80">
        <v>2</v>
      </c>
      <c r="B154" s="14" t="s">
        <v>178</v>
      </c>
      <c r="C154" s="14">
        <v>0</v>
      </c>
      <c r="D154" s="14" t="s">
        <v>178</v>
      </c>
      <c r="E154" s="15" t="s">
        <v>179</v>
      </c>
      <c r="F154" s="14" t="s">
        <v>178</v>
      </c>
      <c r="G154" s="81" t="s">
        <v>70</v>
      </c>
      <c r="H154" s="402" t="s">
        <v>180</v>
      </c>
      <c r="I154" s="403"/>
      <c r="J154" s="404"/>
      <c r="K154" s="403"/>
      <c r="L154" s="405"/>
      <c r="M154" s="403"/>
      <c r="N154" s="404"/>
      <c r="O154" s="403">
        <v>0</v>
      </c>
      <c r="P154" s="404">
        <v>27162.53</v>
      </c>
      <c r="Q154" s="403">
        <v>27162.53</v>
      </c>
      <c r="R154" s="404">
        <v>27162.53</v>
      </c>
      <c r="S154" s="406">
        <v>0</v>
      </c>
      <c r="T154" s="406">
        <v>0</v>
      </c>
      <c r="U154" s="406">
        <v>0</v>
      </c>
      <c r="V154" s="406">
        <v>0</v>
      </c>
      <c r="W154" s="407">
        <v>0</v>
      </c>
      <c r="X154" s="408">
        <v>0</v>
      </c>
      <c r="Y154" s="409">
        <v>0</v>
      </c>
      <c r="Z154" s="410">
        <v>0</v>
      </c>
      <c r="AA154" s="411">
        <v>0</v>
      </c>
      <c r="AB154" s="410">
        <v>0</v>
      </c>
      <c r="AC154" s="411">
        <v>0</v>
      </c>
      <c r="AD154" s="410">
        <v>15000</v>
      </c>
      <c r="AE154" s="411"/>
      <c r="AF154" s="851">
        <v>2500</v>
      </c>
      <c r="AG154" s="761"/>
      <c r="AH154" s="851">
        <v>2500</v>
      </c>
      <c r="AI154" s="851">
        <v>2500</v>
      </c>
      <c r="AJ154" s="851">
        <v>2500</v>
      </c>
      <c r="AK154" s="722"/>
      <c r="AM154" s="106"/>
      <c r="AN154" s="106"/>
    </row>
    <row r="155" spans="1:1026" s="902" customFormat="1" ht="30">
      <c r="A155" s="882">
        <v>5</v>
      </c>
      <c r="B155" s="883" t="s">
        <v>16</v>
      </c>
      <c r="C155" s="883">
        <v>1</v>
      </c>
      <c r="D155" s="883" t="s">
        <v>16</v>
      </c>
      <c r="E155" s="884" t="s">
        <v>88</v>
      </c>
      <c r="F155" s="883" t="s">
        <v>16</v>
      </c>
      <c r="G155" s="885" t="s">
        <v>81</v>
      </c>
      <c r="H155" s="913" t="s">
        <v>181</v>
      </c>
      <c r="I155" s="965">
        <v>70000</v>
      </c>
      <c r="J155" s="964">
        <v>67242.429999999993</v>
      </c>
      <c r="K155" s="965">
        <f>ROUNDUP(((K123*450/650)+(K122)*340/400)*0.2915+(K40+K47)*0.19825,-2)-12600</f>
        <v>55200</v>
      </c>
      <c r="L155" s="966">
        <v>43629.35</v>
      </c>
      <c r="M155" s="965">
        <f>ROUNDUP(((M123*450/650)+(M62+M122)*340/400)*0.2915+(M47+M40)*0.19825,-2)-12600</f>
        <v>54800</v>
      </c>
      <c r="N155" s="964">
        <v>67436.17</v>
      </c>
      <c r="O155" s="965">
        <f>ROUNDUP(((O123*450/650)+(O122)*340/400)*0.2915+(O40+O47)*0.19825,-2)-12600</f>
        <v>55000</v>
      </c>
      <c r="P155" s="964">
        <v>49668.63</v>
      </c>
      <c r="Q155" s="965">
        <v>53700</v>
      </c>
      <c r="R155" s="964">
        <v>70123.59</v>
      </c>
      <c r="S155" s="977">
        <v>65000</v>
      </c>
      <c r="T155" s="977">
        <v>65000</v>
      </c>
      <c r="U155" s="977">
        <v>-38296.44</v>
      </c>
      <c r="V155" s="977">
        <v>70000</v>
      </c>
      <c r="W155" s="978">
        <v>-48692.65</v>
      </c>
      <c r="X155" s="979">
        <v>70000</v>
      </c>
      <c r="Y155" s="980">
        <v>-28961.08</v>
      </c>
      <c r="Z155" s="981">
        <v>80000</v>
      </c>
      <c r="AA155" s="982">
        <v>-80901.86</v>
      </c>
      <c r="AB155" s="981">
        <v>95000</v>
      </c>
      <c r="AC155" s="982">
        <v>-80901.86</v>
      </c>
      <c r="AD155" s="981">
        <v>83000</v>
      </c>
      <c r="AE155" s="982">
        <v>-103667.2</v>
      </c>
      <c r="AF155" s="983">
        <v>89000</v>
      </c>
      <c r="AG155" s="984">
        <v>-53651.95</v>
      </c>
      <c r="AH155" s="983">
        <v>89000</v>
      </c>
      <c r="AI155" s="983">
        <v>105000</v>
      </c>
      <c r="AJ155" s="983">
        <v>105000</v>
      </c>
      <c r="AK155" s="925" t="s">
        <v>182</v>
      </c>
      <c r="AL155" s="899"/>
      <c r="AM155" s="900"/>
      <c r="AN155" s="900"/>
      <c r="AO155" s="900"/>
      <c r="AP155" s="901"/>
      <c r="AQ155" s="900"/>
      <c r="AR155" s="901"/>
      <c r="AS155" s="901"/>
      <c r="AT155" s="901"/>
      <c r="AU155" s="901"/>
      <c r="AV155" s="901"/>
      <c r="AW155" s="901"/>
      <c r="AX155" s="901"/>
      <c r="AY155" s="901"/>
      <c r="AZ155" s="901"/>
      <c r="BA155" s="901"/>
      <c r="BB155" s="901"/>
      <c r="BC155" s="901"/>
      <c r="BD155" s="901"/>
      <c r="BE155" s="901"/>
      <c r="BF155" s="901"/>
      <c r="BG155" s="901"/>
      <c r="BH155" s="901"/>
      <c r="BI155" s="901"/>
      <c r="BJ155" s="901"/>
      <c r="BK155" s="901"/>
      <c r="BL155" s="901"/>
      <c r="BM155" s="901"/>
      <c r="BN155" s="901"/>
      <c r="BO155" s="901"/>
      <c r="BP155" s="901"/>
      <c r="BQ155" s="901"/>
      <c r="BR155" s="901"/>
      <c r="BS155" s="901"/>
      <c r="BT155" s="901"/>
      <c r="BU155" s="901"/>
      <c r="BV155" s="901"/>
      <c r="BW155" s="901"/>
      <c r="BX155" s="901"/>
      <c r="BY155" s="901"/>
      <c r="BZ155" s="901"/>
      <c r="CA155" s="901"/>
      <c r="CB155" s="901"/>
      <c r="CC155" s="901"/>
      <c r="CD155" s="901"/>
      <c r="CE155" s="901"/>
      <c r="CF155" s="901"/>
      <c r="CG155" s="901"/>
      <c r="CH155" s="901"/>
      <c r="CI155" s="901"/>
      <c r="CJ155" s="901"/>
      <c r="CK155" s="901"/>
      <c r="CL155" s="901"/>
      <c r="CM155" s="901"/>
      <c r="CN155" s="901"/>
      <c r="CO155" s="901"/>
      <c r="CP155" s="901"/>
      <c r="CQ155" s="901"/>
      <c r="CR155" s="901"/>
      <c r="CS155" s="901"/>
      <c r="CT155" s="901"/>
      <c r="CU155" s="901"/>
      <c r="CV155" s="901"/>
      <c r="CW155" s="901"/>
      <c r="CX155" s="901"/>
      <c r="CY155" s="901"/>
      <c r="CZ155" s="901"/>
      <c r="DA155" s="901"/>
      <c r="DB155" s="901"/>
      <c r="DC155" s="901"/>
      <c r="DD155" s="901"/>
      <c r="DE155" s="901"/>
      <c r="DF155" s="901"/>
      <c r="DG155" s="901"/>
      <c r="DH155" s="901"/>
      <c r="DI155" s="901"/>
      <c r="DJ155" s="901"/>
      <c r="DK155" s="901"/>
      <c r="DL155" s="901"/>
      <c r="DM155" s="901"/>
      <c r="DN155" s="901"/>
      <c r="DO155" s="901"/>
      <c r="DP155" s="901"/>
      <c r="DQ155" s="901"/>
      <c r="DR155" s="901"/>
      <c r="DS155" s="901"/>
      <c r="DT155" s="901"/>
      <c r="DU155" s="901"/>
      <c r="DV155" s="901"/>
      <c r="DW155" s="901"/>
      <c r="DX155" s="901"/>
      <c r="DY155" s="901"/>
      <c r="DZ155" s="901"/>
      <c r="EA155" s="901"/>
      <c r="EB155" s="901"/>
      <c r="EC155" s="901"/>
      <c r="ED155" s="901"/>
      <c r="EE155" s="901"/>
      <c r="EF155" s="901"/>
      <c r="EG155" s="901"/>
      <c r="EH155" s="901"/>
      <c r="EI155" s="901"/>
      <c r="EJ155" s="901"/>
      <c r="EK155" s="901"/>
      <c r="EL155" s="901"/>
      <c r="EM155" s="901"/>
      <c r="EN155" s="901"/>
      <c r="EO155" s="901"/>
      <c r="EP155" s="901"/>
      <c r="EQ155" s="901"/>
      <c r="ER155" s="901"/>
      <c r="ES155" s="901"/>
      <c r="ET155" s="901"/>
      <c r="EU155" s="901"/>
      <c r="EV155" s="901"/>
      <c r="EW155" s="901"/>
      <c r="EX155" s="901"/>
      <c r="EY155" s="901"/>
      <c r="EZ155" s="901"/>
      <c r="FA155" s="901"/>
      <c r="FB155" s="901"/>
      <c r="FC155" s="901"/>
      <c r="FD155" s="901"/>
      <c r="FE155" s="901"/>
      <c r="FF155" s="901"/>
      <c r="FG155" s="901"/>
      <c r="FH155" s="901"/>
      <c r="FI155" s="901"/>
      <c r="FJ155" s="901"/>
      <c r="FK155" s="901"/>
      <c r="FL155" s="901"/>
      <c r="FM155" s="901"/>
      <c r="FN155" s="901"/>
      <c r="FO155" s="901"/>
      <c r="FP155" s="901"/>
      <c r="FQ155" s="901"/>
      <c r="FR155" s="901"/>
      <c r="FS155" s="901"/>
      <c r="FT155" s="901"/>
      <c r="FU155" s="901"/>
      <c r="FV155" s="901"/>
      <c r="FW155" s="901"/>
      <c r="FX155" s="901"/>
      <c r="FY155" s="901"/>
      <c r="FZ155" s="901"/>
      <c r="GA155" s="901"/>
      <c r="GB155" s="901"/>
      <c r="GC155" s="901"/>
      <c r="GD155" s="901"/>
      <c r="GE155" s="901"/>
      <c r="GF155" s="901"/>
      <c r="GG155" s="901"/>
      <c r="GH155" s="901"/>
      <c r="GI155" s="901"/>
      <c r="GJ155" s="901"/>
      <c r="GK155" s="901"/>
      <c r="GL155" s="901"/>
      <c r="GM155" s="901"/>
      <c r="GN155" s="901"/>
      <c r="GO155" s="901"/>
      <c r="GP155" s="901"/>
      <c r="GQ155" s="901"/>
      <c r="GR155" s="901"/>
      <c r="GS155" s="901"/>
      <c r="GT155" s="901"/>
      <c r="GU155" s="901"/>
      <c r="GV155" s="901"/>
      <c r="GW155" s="901"/>
      <c r="GX155" s="901"/>
      <c r="GY155" s="901"/>
      <c r="GZ155" s="901"/>
      <c r="HA155" s="901"/>
      <c r="HB155" s="901"/>
      <c r="HC155" s="901"/>
      <c r="HD155" s="901"/>
      <c r="HE155" s="901"/>
      <c r="HF155" s="901"/>
      <c r="HG155" s="901"/>
      <c r="HH155" s="901"/>
      <c r="HI155" s="901"/>
      <c r="HJ155" s="901"/>
      <c r="HK155" s="901"/>
      <c r="HL155" s="901"/>
      <c r="HM155" s="901"/>
      <c r="HN155" s="901"/>
      <c r="HO155" s="901"/>
      <c r="HP155" s="901"/>
      <c r="HQ155" s="901"/>
      <c r="HR155" s="901"/>
      <c r="HS155" s="901"/>
      <c r="HT155" s="901"/>
      <c r="HU155" s="901"/>
      <c r="HV155" s="901"/>
      <c r="HW155" s="901"/>
      <c r="HX155" s="901"/>
      <c r="HY155" s="901"/>
      <c r="HZ155" s="901"/>
      <c r="IA155" s="901"/>
      <c r="IB155" s="901"/>
      <c r="IC155" s="901"/>
      <c r="ID155" s="901"/>
      <c r="IE155" s="901"/>
      <c r="IF155" s="901"/>
      <c r="IG155" s="901"/>
      <c r="IH155" s="901"/>
      <c r="II155" s="901"/>
      <c r="IJ155" s="901"/>
      <c r="IK155" s="901"/>
      <c r="IL155" s="901"/>
      <c r="IM155" s="901"/>
      <c r="IN155" s="901"/>
      <c r="IO155" s="901"/>
      <c r="IP155" s="901"/>
      <c r="IQ155" s="901"/>
      <c r="IR155" s="901"/>
      <c r="IS155" s="901"/>
      <c r="IT155" s="901"/>
      <c r="IU155" s="901"/>
      <c r="IV155" s="901"/>
      <c r="IW155" s="901"/>
      <c r="IX155" s="901"/>
      <c r="IY155" s="901"/>
      <c r="IZ155" s="901"/>
      <c r="JA155" s="901"/>
      <c r="JB155" s="901"/>
      <c r="JC155" s="901"/>
      <c r="JD155" s="901"/>
      <c r="JE155" s="901"/>
      <c r="JF155" s="901"/>
      <c r="JG155" s="901"/>
      <c r="JH155" s="901"/>
      <c r="JI155" s="901"/>
      <c r="JJ155" s="901"/>
      <c r="JK155" s="901"/>
      <c r="JL155" s="901"/>
      <c r="JM155" s="901"/>
      <c r="JN155" s="901"/>
      <c r="JO155" s="901"/>
      <c r="JP155" s="901"/>
      <c r="JQ155" s="901"/>
      <c r="JR155" s="901"/>
      <c r="JS155" s="901"/>
      <c r="JT155" s="901"/>
      <c r="JU155" s="901"/>
      <c r="JV155" s="901"/>
      <c r="JW155" s="901"/>
      <c r="JX155" s="901"/>
      <c r="JY155" s="901"/>
      <c r="JZ155" s="901"/>
      <c r="KA155" s="901"/>
      <c r="KB155" s="901"/>
      <c r="KC155" s="901"/>
      <c r="KD155" s="901"/>
      <c r="KE155" s="901"/>
      <c r="KF155" s="901"/>
      <c r="KG155" s="901"/>
      <c r="KH155" s="901"/>
      <c r="KI155" s="901"/>
      <c r="KJ155" s="901"/>
      <c r="KK155" s="901"/>
      <c r="KL155" s="901"/>
      <c r="KM155" s="901"/>
      <c r="KN155" s="901"/>
      <c r="KO155" s="901"/>
      <c r="KP155" s="901"/>
      <c r="KQ155" s="901"/>
      <c r="KR155" s="901"/>
      <c r="KS155" s="901"/>
      <c r="KT155" s="901"/>
      <c r="KU155" s="901"/>
      <c r="KV155" s="901"/>
      <c r="KW155" s="901"/>
      <c r="KX155" s="901"/>
      <c r="KY155" s="901"/>
      <c r="KZ155" s="901"/>
      <c r="LA155" s="901"/>
      <c r="LB155" s="901"/>
      <c r="LC155" s="901"/>
      <c r="LD155" s="901"/>
      <c r="LE155" s="901"/>
      <c r="LF155" s="901"/>
      <c r="LG155" s="901"/>
      <c r="LH155" s="901"/>
      <c r="LI155" s="901"/>
      <c r="LJ155" s="901"/>
      <c r="LK155" s="901"/>
      <c r="LL155" s="901"/>
      <c r="LM155" s="901"/>
      <c r="LN155" s="901"/>
      <c r="LO155" s="901"/>
      <c r="LP155" s="901"/>
      <c r="LQ155" s="901"/>
      <c r="LR155" s="901"/>
      <c r="LS155" s="901"/>
      <c r="LT155" s="901"/>
      <c r="LU155" s="901"/>
      <c r="LV155" s="901"/>
      <c r="LW155" s="901"/>
      <c r="LX155" s="901"/>
      <c r="LY155" s="901"/>
      <c r="LZ155" s="901"/>
      <c r="MA155" s="901"/>
      <c r="MB155" s="901"/>
      <c r="MC155" s="901"/>
      <c r="MD155" s="901"/>
      <c r="ME155" s="901"/>
      <c r="MF155" s="901"/>
      <c r="MG155" s="901"/>
      <c r="MH155" s="901"/>
      <c r="MI155" s="901"/>
      <c r="MJ155" s="901"/>
      <c r="MK155" s="901"/>
      <c r="ML155" s="901"/>
      <c r="MM155" s="901"/>
      <c r="MN155" s="901"/>
      <c r="MO155" s="901"/>
      <c r="MP155" s="901"/>
      <c r="MQ155" s="901"/>
      <c r="MR155" s="901"/>
      <c r="MS155" s="901"/>
      <c r="MT155" s="901"/>
      <c r="MU155" s="901"/>
      <c r="MV155" s="901"/>
      <c r="MW155" s="901"/>
      <c r="MX155" s="901"/>
      <c r="MY155" s="901"/>
      <c r="MZ155" s="901"/>
      <c r="NA155" s="901"/>
      <c r="NB155" s="901"/>
      <c r="NC155" s="901"/>
      <c r="ND155" s="901"/>
      <c r="NE155" s="901"/>
      <c r="NF155" s="901"/>
      <c r="NG155" s="901"/>
      <c r="NH155" s="901"/>
      <c r="NI155" s="901"/>
      <c r="NJ155" s="901"/>
      <c r="NK155" s="901"/>
      <c r="NL155" s="901"/>
      <c r="NM155" s="901"/>
      <c r="NN155" s="901"/>
      <c r="NO155" s="901"/>
      <c r="NP155" s="901"/>
      <c r="NQ155" s="901"/>
      <c r="NR155" s="901"/>
      <c r="NS155" s="901"/>
      <c r="NT155" s="901"/>
      <c r="NU155" s="901"/>
      <c r="NV155" s="901"/>
      <c r="NW155" s="901"/>
      <c r="NX155" s="901"/>
      <c r="NY155" s="901"/>
      <c r="NZ155" s="901"/>
      <c r="OA155" s="901"/>
      <c r="OB155" s="901"/>
      <c r="OC155" s="901"/>
      <c r="OD155" s="901"/>
      <c r="OE155" s="901"/>
      <c r="OF155" s="901"/>
      <c r="OG155" s="901"/>
      <c r="OH155" s="901"/>
      <c r="OI155" s="901"/>
      <c r="OJ155" s="901"/>
      <c r="OK155" s="901"/>
      <c r="OL155" s="901"/>
      <c r="OM155" s="901"/>
      <c r="ON155" s="901"/>
      <c r="OO155" s="901"/>
      <c r="OP155" s="901"/>
      <c r="OQ155" s="901"/>
      <c r="OR155" s="901"/>
      <c r="OS155" s="901"/>
      <c r="OT155" s="901"/>
      <c r="OU155" s="901"/>
      <c r="OV155" s="901"/>
      <c r="OW155" s="901"/>
      <c r="OX155" s="901"/>
      <c r="OY155" s="901"/>
      <c r="OZ155" s="901"/>
      <c r="PA155" s="901"/>
      <c r="PB155" s="901"/>
      <c r="PC155" s="901"/>
      <c r="PD155" s="901"/>
      <c r="PE155" s="901"/>
      <c r="PF155" s="901"/>
      <c r="PG155" s="901"/>
      <c r="PH155" s="901"/>
      <c r="PI155" s="901"/>
      <c r="PJ155" s="901"/>
      <c r="PK155" s="901"/>
      <c r="PL155" s="901"/>
      <c r="PM155" s="901"/>
      <c r="PN155" s="901"/>
      <c r="PO155" s="901"/>
      <c r="PP155" s="901"/>
      <c r="PQ155" s="901"/>
      <c r="PR155" s="901"/>
      <c r="PS155" s="901"/>
      <c r="PT155" s="901"/>
      <c r="PU155" s="901"/>
      <c r="PV155" s="901"/>
      <c r="PW155" s="901"/>
      <c r="PX155" s="901"/>
      <c r="PY155" s="901"/>
      <c r="PZ155" s="901"/>
      <c r="QA155" s="901"/>
      <c r="QB155" s="901"/>
      <c r="QC155" s="901"/>
      <c r="QD155" s="901"/>
      <c r="QE155" s="901"/>
      <c r="QF155" s="901"/>
      <c r="QG155" s="901"/>
      <c r="QH155" s="901"/>
      <c r="QI155" s="901"/>
      <c r="QJ155" s="901"/>
      <c r="QK155" s="901"/>
      <c r="QL155" s="901"/>
      <c r="QM155" s="901"/>
      <c r="QN155" s="901"/>
      <c r="QO155" s="901"/>
      <c r="QP155" s="901"/>
      <c r="QQ155" s="901"/>
      <c r="QR155" s="901"/>
      <c r="QS155" s="901"/>
      <c r="QT155" s="901"/>
      <c r="QU155" s="901"/>
      <c r="QV155" s="901"/>
      <c r="QW155" s="901"/>
      <c r="QX155" s="901"/>
      <c r="QY155" s="901"/>
      <c r="QZ155" s="901"/>
      <c r="RA155" s="901"/>
      <c r="RB155" s="901"/>
      <c r="RC155" s="901"/>
      <c r="RD155" s="901"/>
      <c r="RE155" s="901"/>
      <c r="RF155" s="901"/>
      <c r="RG155" s="901"/>
      <c r="RH155" s="901"/>
      <c r="RI155" s="901"/>
      <c r="RJ155" s="901"/>
      <c r="RK155" s="901"/>
      <c r="RL155" s="901"/>
      <c r="RM155" s="901"/>
      <c r="RN155" s="901"/>
      <c r="RO155" s="901"/>
      <c r="RP155" s="901"/>
      <c r="RQ155" s="901"/>
      <c r="RR155" s="901"/>
      <c r="RS155" s="901"/>
      <c r="RT155" s="901"/>
      <c r="RU155" s="901"/>
      <c r="RV155" s="901"/>
      <c r="RW155" s="901"/>
      <c r="RX155" s="901"/>
      <c r="RY155" s="901"/>
      <c r="RZ155" s="901"/>
      <c r="SA155" s="901"/>
      <c r="SB155" s="901"/>
      <c r="SC155" s="901"/>
      <c r="SD155" s="901"/>
      <c r="SE155" s="901"/>
      <c r="SF155" s="901"/>
      <c r="SG155" s="901"/>
      <c r="SH155" s="901"/>
      <c r="SI155" s="901"/>
      <c r="SJ155" s="901"/>
      <c r="SK155" s="901"/>
      <c r="SL155" s="901"/>
      <c r="SM155" s="901"/>
      <c r="SN155" s="901"/>
      <c r="SO155" s="901"/>
      <c r="SP155" s="901"/>
      <c r="SQ155" s="901"/>
      <c r="SR155" s="901"/>
      <c r="SS155" s="901"/>
      <c r="ST155" s="901"/>
      <c r="SU155" s="901"/>
      <c r="SV155" s="901"/>
      <c r="SW155" s="901"/>
      <c r="SX155" s="901"/>
      <c r="SY155" s="901"/>
      <c r="SZ155" s="901"/>
      <c r="TA155" s="901"/>
      <c r="TB155" s="901"/>
      <c r="TC155" s="901"/>
      <c r="TD155" s="901"/>
      <c r="TE155" s="901"/>
      <c r="TF155" s="901"/>
      <c r="TG155" s="901"/>
      <c r="TH155" s="901"/>
      <c r="TI155" s="901"/>
      <c r="TJ155" s="901"/>
      <c r="TK155" s="901"/>
      <c r="TL155" s="901"/>
      <c r="TM155" s="901"/>
      <c r="TN155" s="901"/>
      <c r="TO155" s="901"/>
      <c r="TP155" s="901"/>
      <c r="TQ155" s="901"/>
      <c r="TR155" s="901"/>
      <c r="TS155" s="901"/>
      <c r="TT155" s="901"/>
      <c r="TU155" s="901"/>
      <c r="TV155" s="901"/>
      <c r="TW155" s="901"/>
      <c r="TX155" s="901"/>
      <c r="TY155" s="901"/>
      <c r="TZ155" s="901"/>
      <c r="UA155" s="901"/>
      <c r="UB155" s="901"/>
      <c r="UC155" s="901"/>
      <c r="UD155" s="901"/>
      <c r="UE155" s="901"/>
      <c r="UF155" s="901"/>
      <c r="UG155" s="901"/>
      <c r="UH155" s="901"/>
      <c r="UI155" s="901"/>
      <c r="UJ155" s="901"/>
      <c r="UK155" s="901"/>
      <c r="UL155" s="901"/>
      <c r="UM155" s="901"/>
      <c r="UN155" s="901"/>
      <c r="UO155" s="901"/>
      <c r="UP155" s="901"/>
      <c r="UQ155" s="901"/>
      <c r="UR155" s="901"/>
      <c r="US155" s="901"/>
      <c r="UT155" s="901"/>
      <c r="UU155" s="901"/>
      <c r="UV155" s="901"/>
      <c r="UW155" s="901"/>
      <c r="UX155" s="901"/>
      <c r="UY155" s="901"/>
      <c r="UZ155" s="901"/>
      <c r="VA155" s="901"/>
      <c r="VB155" s="901"/>
      <c r="VC155" s="901"/>
      <c r="VD155" s="901"/>
      <c r="VE155" s="901"/>
      <c r="VF155" s="901"/>
      <c r="VG155" s="901"/>
      <c r="VH155" s="901"/>
      <c r="VI155" s="901"/>
      <c r="VJ155" s="901"/>
      <c r="VK155" s="901"/>
      <c r="VL155" s="901"/>
      <c r="VM155" s="901"/>
      <c r="VN155" s="901"/>
      <c r="VO155" s="901"/>
      <c r="VP155" s="901"/>
      <c r="VQ155" s="901"/>
      <c r="VR155" s="901"/>
      <c r="VS155" s="901"/>
      <c r="VT155" s="901"/>
      <c r="VU155" s="901"/>
      <c r="VV155" s="901"/>
      <c r="VW155" s="901"/>
      <c r="VX155" s="901"/>
      <c r="VY155" s="901"/>
      <c r="VZ155" s="901"/>
      <c r="WA155" s="901"/>
      <c r="WB155" s="901"/>
      <c r="WC155" s="901"/>
      <c r="WD155" s="901"/>
      <c r="WE155" s="901"/>
      <c r="WF155" s="901"/>
      <c r="WG155" s="901"/>
      <c r="WH155" s="901"/>
      <c r="WI155" s="901"/>
      <c r="WJ155" s="901"/>
      <c r="WK155" s="901"/>
      <c r="WL155" s="901"/>
      <c r="WM155" s="901"/>
      <c r="WN155" s="901"/>
      <c r="WO155" s="901"/>
      <c r="WP155" s="901"/>
      <c r="WQ155" s="901"/>
      <c r="WR155" s="901"/>
      <c r="WS155" s="901"/>
      <c r="WT155" s="901"/>
      <c r="WU155" s="901"/>
      <c r="WV155" s="901"/>
      <c r="WW155" s="901"/>
      <c r="WX155" s="901"/>
      <c r="WY155" s="901"/>
      <c r="WZ155" s="901"/>
      <c r="XA155" s="901"/>
      <c r="XB155" s="901"/>
      <c r="XC155" s="901"/>
      <c r="XD155" s="901"/>
      <c r="XE155" s="901"/>
      <c r="XF155" s="901"/>
      <c r="XG155" s="901"/>
      <c r="XH155" s="901"/>
      <c r="XI155" s="901"/>
      <c r="XJ155" s="901"/>
      <c r="XK155" s="901"/>
      <c r="XL155" s="901"/>
      <c r="XM155" s="901"/>
      <c r="XN155" s="901"/>
      <c r="XO155" s="901"/>
      <c r="XP155" s="901"/>
      <c r="XQ155" s="901"/>
      <c r="XR155" s="901"/>
      <c r="XS155" s="901"/>
      <c r="XT155" s="901"/>
      <c r="XU155" s="901"/>
      <c r="XV155" s="901"/>
      <c r="XW155" s="901"/>
      <c r="XX155" s="901"/>
      <c r="XY155" s="901"/>
      <c r="XZ155" s="901"/>
      <c r="YA155" s="901"/>
      <c r="YB155" s="901"/>
      <c r="YC155" s="901"/>
      <c r="YD155" s="901"/>
      <c r="YE155" s="901"/>
      <c r="YF155" s="901"/>
      <c r="YG155" s="901"/>
      <c r="YH155" s="901"/>
      <c r="YI155" s="901"/>
      <c r="YJ155" s="901"/>
      <c r="YK155" s="901"/>
      <c r="YL155" s="901"/>
      <c r="YM155" s="901"/>
      <c r="YN155" s="901"/>
      <c r="YO155" s="901"/>
      <c r="YP155" s="901"/>
      <c r="YQ155" s="901"/>
      <c r="YR155" s="901"/>
      <c r="YS155" s="901"/>
      <c r="YT155" s="901"/>
      <c r="YU155" s="901"/>
      <c r="YV155" s="901"/>
      <c r="YW155" s="901"/>
      <c r="YX155" s="901"/>
      <c r="YY155" s="901"/>
      <c r="YZ155" s="901"/>
      <c r="ZA155" s="901"/>
      <c r="ZB155" s="901"/>
      <c r="ZC155" s="901"/>
      <c r="ZD155" s="901"/>
      <c r="ZE155" s="901"/>
      <c r="ZF155" s="901"/>
      <c r="ZG155" s="901"/>
      <c r="ZH155" s="901"/>
      <c r="ZI155" s="901"/>
      <c r="ZJ155" s="901"/>
      <c r="ZK155" s="901"/>
      <c r="ZL155" s="901"/>
      <c r="ZM155" s="901"/>
      <c r="ZN155" s="901"/>
      <c r="ZO155" s="901"/>
      <c r="ZP155" s="901"/>
      <c r="ZQ155" s="901"/>
      <c r="ZR155" s="901"/>
      <c r="ZS155" s="901"/>
      <c r="ZT155" s="901"/>
      <c r="ZU155" s="901"/>
      <c r="ZV155" s="901"/>
      <c r="ZW155" s="901"/>
      <c r="ZX155" s="901"/>
      <c r="ZY155" s="901"/>
      <c r="ZZ155" s="901"/>
      <c r="AAA155" s="901"/>
      <c r="AAB155" s="901"/>
      <c r="AAC155" s="901"/>
      <c r="AAD155" s="901"/>
      <c r="AAE155" s="901"/>
      <c r="AAF155" s="901"/>
      <c r="AAG155" s="901"/>
      <c r="AAH155" s="901"/>
      <c r="AAI155" s="901"/>
      <c r="AAJ155" s="901"/>
      <c r="AAK155" s="901"/>
      <c r="AAL155" s="901"/>
      <c r="AAM155" s="901"/>
      <c r="AAN155" s="901"/>
      <c r="AAO155" s="901"/>
      <c r="AAP155" s="901"/>
      <c r="AAQ155" s="901"/>
      <c r="AAR155" s="901"/>
      <c r="AAS155" s="901"/>
      <c r="AAT155" s="901"/>
      <c r="AAU155" s="901"/>
      <c r="AAV155" s="901"/>
      <c r="AAW155" s="901"/>
      <c r="AAX155" s="901"/>
      <c r="AAY155" s="901"/>
      <c r="AAZ155" s="901"/>
      <c r="ABA155" s="901"/>
      <c r="ABB155" s="901"/>
      <c r="ABC155" s="901"/>
      <c r="ABD155" s="901"/>
      <c r="ABE155" s="901"/>
      <c r="ABF155" s="901"/>
      <c r="ABG155" s="901"/>
      <c r="ABH155" s="901"/>
      <c r="ABI155" s="901"/>
      <c r="ABJ155" s="901"/>
      <c r="ABK155" s="901"/>
      <c r="ABL155" s="901"/>
      <c r="ABM155" s="901"/>
      <c r="ABN155" s="901"/>
      <c r="ABO155" s="901"/>
      <c r="ABP155" s="901"/>
      <c r="ABQ155" s="901"/>
      <c r="ABR155" s="901"/>
      <c r="ABS155" s="901"/>
      <c r="ABT155" s="901"/>
      <c r="ABU155" s="901"/>
      <c r="ABV155" s="901"/>
      <c r="ABW155" s="901"/>
      <c r="ABX155" s="901"/>
      <c r="ABY155" s="901"/>
      <c r="ABZ155" s="901"/>
      <c r="ACA155" s="901"/>
      <c r="ACB155" s="901"/>
      <c r="ACC155" s="901"/>
      <c r="ACD155" s="901"/>
      <c r="ACE155" s="901"/>
      <c r="ACF155" s="901"/>
      <c r="ACG155" s="901"/>
      <c r="ACH155" s="901"/>
      <c r="ACI155" s="901"/>
      <c r="ACJ155" s="901"/>
      <c r="ACK155" s="901"/>
      <c r="ACL155" s="901"/>
      <c r="ACM155" s="901"/>
      <c r="ACN155" s="901"/>
      <c r="ACO155" s="901"/>
      <c r="ACP155" s="901"/>
      <c r="ACQ155" s="901"/>
      <c r="ACR155" s="901"/>
      <c r="ACS155" s="901"/>
      <c r="ACT155" s="901"/>
      <c r="ACU155" s="901"/>
      <c r="ACV155" s="901"/>
      <c r="ACW155" s="901"/>
      <c r="ACX155" s="901"/>
      <c r="ACY155" s="901"/>
      <c r="ACZ155" s="901"/>
      <c r="ADA155" s="901"/>
      <c r="ADB155" s="901"/>
      <c r="ADC155" s="901"/>
      <c r="ADD155" s="901"/>
      <c r="ADE155" s="901"/>
      <c r="ADF155" s="901"/>
      <c r="ADG155" s="901"/>
      <c r="ADH155" s="901"/>
      <c r="ADI155" s="901"/>
      <c r="ADJ155" s="901"/>
      <c r="ADK155" s="901"/>
      <c r="ADL155" s="901"/>
      <c r="ADM155" s="901"/>
      <c r="ADN155" s="901"/>
      <c r="ADO155" s="901"/>
      <c r="ADP155" s="901"/>
      <c r="ADQ155" s="901"/>
      <c r="ADR155" s="901"/>
      <c r="ADS155" s="901"/>
      <c r="ADT155" s="901"/>
      <c r="ADU155" s="901"/>
      <c r="ADV155" s="901"/>
      <c r="ADW155" s="901"/>
      <c r="ADX155" s="901"/>
      <c r="ADY155" s="901"/>
      <c r="ADZ155" s="901"/>
      <c r="AEA155" s="901"/>
      <c r="AEB155" s="901"/>
      <c r="AEC155" s="901"/>
      <c r="AED155" s="901"/>
      <c r="AEE155" s="901"/>
      <c r="AEF155" s="901"/>
      <c r="AEG155" s="901"/>
      <c r="AEH155" s="901"/>
      <c r="AEI155" s="901"/>
      <c r="AEJ155" s="901"/>
      <c r="AEK155" s="901"/>
      <c r="AEL155" s="901"/>
      <c r="AEM155" s="901"/>
      <c r="AEN155" s="901"/>
      <c r="AEO155" s="901"/>
      <c r="AEP155" s="901"/>
      <c r="AEQ155" s="901"/>
      <c r="AER155" s="901"/>
      <c r="AES155" s="901"/>
      <c r="AET155" s="901"/>
      <c r="AEU155" s="901"/>
      <c r="AEV155" s="901"/>
      <c r="AEW155" s="901"/>
      <c r="AEX155" s="901"/>
      <c r="AEY155" s="901"/>
      <c r="AEZ155" s="901"/>
      <c r="AFA155" s="901"/>
      <c r="AFB155" s="901"/>
      <c r="AFC155" s="901"/>
      <c r="AFD155" s="901"/>
      <c r="AFE155" s="901"/>
      <c r="AFF155" s="901"/>
      <c r="AFG155" s="901"/>
      <c r="AFH155" s="901"/>
      <c r="AFI155" s="901"/>
      <c r="AFJ155" s="901"/>
      <c r="AFK155" s="901"/>
      <c r="AFL155" s="901"/>
      <c r="AFM155" s="901"/>
      <c r="AFN155" s="901"/>
      <c r="AFO155" s="901"/>
      <c r="AFP155" s="901"/>
      <c r="AFQ155" s="901"/>
      <c r="AFR155" s="901"/>
      <c r="AFS155" s="901"/>
      <c r="AFT155" s="901"/>
      <c r="AFU155" s="901"/>
      <c r="AFV155" s="901"/>
      <c r="AFW155" s="901"/>
      <c r="AFX155" s="901"/>
      <c r="AFY155" s="901"/>
      <c r="AFZ155" s="901"/>
      <c r="AGA155" s="901"/>
      <c r="AGB155" s="901"/>
      <c r="AGC155" s="901"/>
      <c r="AGD155" s="901"/>
      <c r="AGE155" s="901"/>
      <c r="AGF155" s="901"/>
      <c r="AGG155" s="901"/>
      <c r="AGH155" s="901"/>
      <c r="AGI155" s="901"/>
      <c r="AGJ155" s="901"/>
      <c r="AGK155" s="901"/>
      <c r="AGL155" s="901"/>
      <c r="AGM155" s="901"/>
      <c r="AGN155" s="901"/>
      <c r="AGO155" s="901"/>
      <c r="AGP155" s="901"/>
      <c r="AGQ155" s="901"/>
      <c r="AGR155" s="901"/>
      <c r="AGS155" s="901"/>
      <c r="AGT155" s="901"/>
      <c r="AGU155" s="901"/>
      <c r="AGV155" s="901"/>
      <c r="AGW155" s="901"/>
      <c r="AGX155" s="901"/>
      <c r="AGY155" s="901"/>
      <c r="AGZ155" s="901"/>
      <c r="AHA155" s="901"/>
      <c r="AHB155" s="901"/>
      <c r="AHC155" s="901"/>
      <c r="AHD155" s="901"/>
      <c r="AHE155" s="901"/>
      <c r="AHF155" s="901"/>
      <c r="AHG155" s="901"/>
      <c r="AHH155" s="901"/>
      <c r="AHI155" s="901"/>
      <c r="AHJ155" s="901"/>
      <c r="AHK155" s="901"/>
      <c r="AHL155" s="901"/>
      <c r="AHM155" s="901"/>
      <c r="AHN155" s="901"/>
      <c r="AHO155" s="901"/>
      <c r="AHP155" s="901"/>
      <c r="AHQ155" s="901"/>
      <c r="AHR155" s="901"/>
      <c r="AHS155" s="901"/>
      <c r="AHT155" s="901"/>
      <c r="AHU155" s="901"/>
      <c r="AHV155" s="901"/>
      <c r="AHW155" s="901"/>
      <c r="AHX155" s="901"/>
      <c r="AHY155" s="901"/>
      <c r="AHZ155" s="901"/>
      <c r="AIA155" s="901"/>
      <c r="AIB155" s="901"/>
      <c r="AIC155" s="901"/>
      <c r="AID155" s="901"/>
      <c r="AIE155" s="901"/>
      <c r="AIF155" s="901"/>
      <c r="AIG155" s="901"/>
      <c r="AIH155" s="901"/>
      <c r="AII155" s="901"/>
      <c r="AIJ155" s="901"/>
      <c r="AIK155" s="901"/>
      <c r="AIL155" s="901"/>
      <c r="AIM155" s="901"/>
      <c r="AIN155" s="901"/>
      <c r="AIO155" s="901"/>
      <c r="AIP155" s="901"/>
      <c r="AIQ155" s="901"/>
      <c r="AIR155" s="901"/>
      <c r="AIS155" s="901"/>
      <c r="AIT155" s="901"/>
      <c r="AIU155" s="901"/>
      <c r="AIV155" s="901"/>
      <c r="AIW155" s="901"/>
      <c r="AIX155" s="901"/>
      <c r="AIY155" s="901"/>
      <c r="AIZ155" s="901"/>
      <c r="AJA155" s="901"/>
      <c r="AJB155" s="901"/>
      <c r="AJC155" s="901"/>
      <c r="AJD155" s="901"/>
      <c r="AJE155" s="901"/>
      <c r="AJF155" s="901"/>
      <c r="AJG155" s="901"/>
      <c r="AJH155" s="901"/>
      <c r="AJI155" s="901"/>
      <c r="AJJ155" s="901"/>
      <c r="AJK155" s="901"/>
      <c r="AJL155" s="901"/>
      <c r="AJM155" s="901"/>
      <c r="AJN155" s="901"/>
      <c r="AJO155" s="901"/>
      <c r="AJP155" s="901"/>
      <c r="AJQ155" s="901"/>
      <c r="AJR155" s="901"/>
      <c r="AJS155" s="901"/>
      <c r="AJT155" s="901"/>
      <c r="AJU155" s="901"/>
      <c r="AJV155" s="901"/>
      <c r="AJW155" s="901"/>
      <c r="AJX155" s="901"/>
      <c r="AJY155" s="901"/>
      <c r="AJZ155" s="901"/>
      <c r="AKA155" s="901"/>
      <c r="AKB155" s="901"/>
      <c r="AKC155" s="901"/>
      <c r="AKD155" s="901"/>
      <c r="AKE155" s="901"/>
      <c r="AKF155" s="901"/>
      <c r="AKG155" s="901"/>
      <c r="AKH155" s="901"/>
      <c r="AKI155" s="901"/>
      <c r="AKJ155" s="901"/>
      <c r="AKK155" s="901"/>
      <c r="AKL155" s="901"/>
      <c r="AKM155" s="901"/>
      <c r="AKN155" s="901"/>
      <c r="AKO155" s="901"/>
      <c r="AKP155" s="901"/>
      <c r="AKQ155" s="901"/>
      <c r="AKR155" s="901"/>
      <c r="AKS155" s="901"/>
      <c r="AKT155" s="901"/>
      <c r="AKU155" s="901"/>
      <c r="AKV155" s="901"/>
      <c r="AKW155" s="901"/>
      <c r="AKX155" s="901"/>
      <c r="AKY155" s="901"/>
      <c r="AKZ155" s="901"/>
      <c r="ALA155" s="901"/>
      <c r="ALB155" s="901"/>
      <c r="ALC155" s="901"/>
      <c r="ALD155" s="901"/>
      <c r="ALE155" s="901"/>
      <c r="ALF155" s="901"/>
      <c r="ALG155" s="901"/>
      <c r="ALH155" s="901"/>
      <c r="ALI155" s="901"/>
      <c r="ALJ155" s="901"/>
      <c r="ALK155" s="901"/>
      <c r="ALL155" s="901"/>
      <c r="ALM155" s="901"/>
      <c r="ALN155" s="901"/>
      <c r="ALO155" s="901"/>
      <c r="ALP155" s="901"/>
      <c r="ALQ155" s="901"/>
      <c r="ALR155" s="901"/>
      <c r="ALS155" s="901"/>
      <c r="ALT155" s="901"/>
      <c r="ALU155" s="901"/>
      <c r="ALV155" s="901"/>
      <c r="ALW155" s="901"/>
      <c r="ALX155" s="901"/>
      <c r="ALY155" s="901"/>
      <c r="ALZ155" s="901"/>
      <c r="AMA155" s="901"/>
      <c r="AMB155" s="901"/>
      <c r="AMC155" s="901"/>
      <c r="AMD155" s="901"/>
      <c r="AME155" s="901"/>
      <c r="AMF155" s="901"/>
      <c r="AMG155" s="901"/>
      <c r="AMH155" s="901"/>
      <c r="AMI155" s="901"/>
      <c r="AMJ155" s="901"/>
      <c r="AMK155" s="901"/>
      <c r="AML155" s="901"/>
    </row>
    <row r="156" spans="1:1026" ht="30">
      <c r="A156" s="80">
        <v>5</v>
      </c>
      <c r="B156" s="14" t="s">
        <v>16</v>
      </c>
      <c r="C156" s="14">
        <v>1</v>
      </c>
      <c r="D156" s="14" t="s">
        <v>16</v>
      </c>
      <c r="E156" s="15" t="s">
        <v>88</v>
      </c>
      <c r="F156" s="14" t="s">
        <v>16</v>
      </c>
      <c r="G156" s="416" t="s">
        <v>86</v>
      </c>
      <c r="H156" s="251" t="s">
        <v>183</v>
      </c>
      <c r="I156" s="320">
        <v>3100</v>
      </c>
      <c r="J156" s="321">
        <v>2777.43</v>
      </c>
      <c r="K156" s="320">
        <f>ROUNDUP(((K123*450/650)+(K183+K184+K185+K186+K187+K188+K189+K122)*340/400)*0.02,-2)-2200</f>
        <v>2700</v>
      </c>
      <c r="L156" s="397">
        <v>1734.93</v>
      </c>
      <c r="M156" s="320">
        <f>ROUNDUP(((M123*450/650)+(M63+M179+M180+M181+M182+M183+M184+M185+M122)*340/400)*0.02,-2)-2200</f>
        <v>2800</v>
      </c>
      <c r="N156" s="321">
        <v>2733.5</v>
      </c>
      <c r="O156" s="320">
        <f>ROUNDUP(((O123*450/650)+(O62+O183+O184+O185+O186+O187+O188+O189+O122)*340/400)*0.02,-2)-2200</f>
        <v>3100</v>
      </c>
      <c r="P156" s="321">
        <v>2435.4299999999998</v>
      </c>
      <c r="Q156" s="320">
        <v>3000</v>
      </c>
      <c r="R156" s="321">
        <v>3439.13</v>
      </c>
      <c r="S156" s="324">
        <f>ROUNDUP(((S123*450/650)+(S62+S183+S184+S185+S186+S187+S188+S189+S122)*340/400)*0.02,-2)-2200</f>
        <v>3500</v>
      </c>
      <c r="T156" s="324">
        <f>ROUNDUP(((T123*450/650)+(T62+T183+T184+T185+T186+T187+T188+T189+T122)*340/400)*0.02,-2)-2200</f>
        <v>3500</v>
      </c>
      <c r="U156" s="324">
        <v>-1864.97</v>
      </c>
      <c r="V156" s="324">
        <f>ROUNDUP(((V123*450/650)+(V62+V183+V184+V185+V186+V187+V188+V189+V122)*330/400)*0.02,-2)-2200</f>
        <v>237300</v>
      </c>
      <c r="W156" s="417">
        <v>-2409.12</v>
      </c>
      <c r="X156" s="326">
        <f>ROUNDUP(((X123*450/650)+(X62+X183+X184+X185+X186+X187+X188+X189+X122)*330/400)*0.02,-2)-2200</f>
        <v>3700</v>
      </c>
      <c r="Y156" s="116">
        <v>-1536.22</v>
      </c>
      <c r="Z156" s="418">
        <v>5000</v>
      </c>
      <c r="AA156" s="415">
        <v>-4184.2700000000004</v>
      </c>
      <c r="AB156" s="418">
        <v>6000</v>
      </c>
      <c r="AC156" s="415">
        <v>-4184.2700000000004</v>
      </c>
      <c r="AD156" s="418">
        <v>4800</v>
      </c>
      <c r="AE156" s="415">
        <v>-4973.34</v>
      </c>
      <c r="AF156" s="852">
        <v>5100</v>
      </c>
      <c r="AG156" s="673">
        <v>-3177.36</v>
      </c>
      <c r="AH156" s="852">
        <v>5100</v>
      </c>
      <c r="AI156" s="852">
        <v>5100</v>
      </c>
      <c r="AJ156" s="1062">
        <v>6000</v>
      </c>
      <c r="AK156" s="868" t="s">
        <v>182</v>
      </c>
      <c r="AM156" s="106"/>
      <c r="AN156" s="106"/>
      <c r="AO156" s="106"/>
      <c r="AQ156" s="106"/>
    </row>
    <row r="157" spans="1:1026">
      <c r="A157" s="80">
        <v>5</v>
      </c>
      <c r="B157" s="14" t="s">
        <v>16</v>
      </c>
      <c r="C157" s="14">
        <v>1</v>
      </c>
      <c r="D157" s="14" t="s">
        <v>16</v>
      </c>
      <c r="E157" s="15" t="s">
        <v>88</v>
      </c>
      <c r="F157" s="14" t="s">
        <v>16</v>
      </c>
      <c r="G157" s="81" t="s">
        <v>73</v>
      </c>
      <c r="H157" s="251" t="s">
        <v>184</v>
      </c>
      <c r="I157" s="389">
        <v>1500</v>
      </c>
      <c r="J157" s="388">
        <v>0</v>
      </c>
      <c r="K157" s="389">
        <v>1500</v>
      </c>
      <c r="L157" s="388">
        <v>517.5</v>
      </c>
      <c r="M157" s="389">
        <v>1500</v>
      </c>
      <c r="N157" s="388">
        <v>517.5</v>
      </c>
      <c r="O157" s="389">
        <v>1500</v>
      </c>
      <c r="P157" s="388">
        <v>0</v>
      </c>
      <c r="Q157" s="389">
        <v>2000</v>
      </c>
      <c r="R157" s="388">
        <v>0</v>
      </c>
      <c r="S157" s="393">
        <v>2000</v>
      </c>
      <c r="T157" s="393">
        <v>2000</v>
      </c>
      <c r="U157" s="393">
        <v>-2553</v>
      </c>
      <c r="V157" s="393">
        <v>2600</v>
      </c>
      <c r="W157" s="394">
        <v>-3059</v>
      </c>
      <c r="X157" s="101">
        <v>4000</v>
      </c>
      <c r="Y157" s="102">
        <v>0</v>
      </c>
      <c r="Z157" s="361">
        <v>4000</v>
      </c>
      <c r="AA157" s="358">
        <v>0</v>
      </c>
      <c r="AB157" s="361">
        <v>4000</v>
      </c>
      <c r="AC157" s="358">
        <v>0</v>
      </c>
      <c r="AD157" s="361">
        <v>2000</v>
      </c>
      <c r="AE157" s="358">
        <v>-825</v>
      </c>
      <c r="AF157" s="361">
        <v>2000</v>
      </c>
      <c r="AG157" s="759">
        <v>-400</v>
      </c>
      <c r="AH157" s="866">
        <v>2000</v>
      </c>
      <c r="AI157" s="866">
        <v>2000</v>
      </c>
      <c r="AJ157" s="866">
        <v>2000</v>
      </c>
      <c r="AK157" s="700"/>
      <c r="AM157" s="106"/>
      <c r="AN157" s="106"/>
      <c r="AO157" s="106"/>
    </row>
    <row r="158" spans="1:1026">
      <c r="A158" s="80">
        <v>5</v>
      </c>
      <c r="B158" s="14" t="s">
        <v>16</v>
      </c>
      <c r="C158" s="14">
        <v>1</v>
      </c>
      <c r="D158" s="14" t="s">
        <v>16</v>
      </c>
      <c r="E158" s="15" t="s">
        <v>88</v>
      </c>
      <c r="F158" s="14" t="s">
        <v>16</v>
      </c>
      <c r="G158" s="81" t="s">
        <v>77</v>
      </c>
      <c r="H158" s="251" t="s">
        <v>185</v>
      </c>
      <c r="I158" s="389">
        <v>500</v>
      </c>
      <c r="J158" s="388">
        <v>0</v>
      </c>
      <c r="K158" s="389">
        <v>500</v>
      </c>
      <c r="L158" s="388">
        <v>0</v>
      </c>
      <c r="M158" s="389">
        <v>500</v>
      </c>
      <c r="N158" s="388">
        <v>0</v>
      </c>
      <c r="O158" s="389">
        <v>500</v>
      </c>
      <c r="P158" s="388">
        <v>0</v>
      </c>
      <c r="Q158" s="389">
        <v>500</v>
      </c>
      <c r="R158" s="388">
        <v>0</v>
      </c>
      <c r="S158" s="393">
        <v>500</v>
      </c>
      <c r="T158" s="393">
        <v>500</v>
      </c>
      <c r="U158" s="393">
        <v>0</v>
      </c>
      <c r="V158" s="393">
        <v>500</v>
      </c>
      <c r="W158" s="394">
        <v>0</v>
      </c>
      <c r="X158" s="101">
        <v>0</v>
      </c>
      <c r="Y158" s="102">
        <v>0</v>
      </c>
      <c r="Z158" s="361">
        <v>0</v>
      </c>
      <c r="AA158" s="358">
        <v>0</v>
      </c>
      <c r="AB158" s="361">
        <v>0</v>
      </c>
      <c r="AC158" s="358">
        <v>0</v>
      </c>
      <c r="AD158" s="361">
        <v>0</v>
      </c>
      <c r="AE158" s="358"/>
      <c r="AF158" s="361">
        <v>0</v>
      </c>
      <c r="AG158" s="759"/>
      <c r="AH158" s="866">
        <v>0</v>
      </c>
      <c r="AI158" s="866">
        <v>0</v>
      </c>
      <c r="AJ158" s="361">
        <v>0</v>
      </c>
      <c r="AK158" s="700"/>
      <c r="AM158" s="419"/>
      <c r="AN158" s="106"/>
      <c r="AO158" s="234"/>
    </row>
    <row r="159" spans="1:1026">
      <c r="A159" s="80">
        <v>5</v>
      </c>
      <c r="B159" s="14" t="s">
        <v>16</v>
      </c>
      <c r="C159" s="14">
        <v>1</v>
      </c>
      <c r="D159" s="14" t="s">
        <v>16</v>
      </c>
      <c r="E159" s="15" t="s">
        <v>88</v>
      </c>
      <c r="F159" s="14" t="s">
        <v>16</v>
      </c>
      <c r="G159" s="81" t="s">
        <v>118</v>
      </c>
      <c r="H159" s="251" t="s">
        <v>186</v>
      </c>
      <c r="I159" s="389">
        <v>13000</v>
      </c>
      <c r="J159" s="388">
        <v>12621.44</v>
      </c>
      <c r="K159" s="389">
        <v>12200</v>
      </c>
      <c r="L159" s="388">
        <v>9000</v>
      </c>
      <c r="M159" s="389">
        <v>15000</v>
      </c>
      <c r="N159" s="388">
        <v>13684.17</v>
      </c>
      <c r="O159" s="389">
        <v>12000</v>
      </c>
      <c r="P159" s="388">
        <v>8924.3700000000008</v>
      </c>
      <c r="Q159" s="389">
        <v>12000</v>
      </c>
      <c r="R159" s="388">
        <v>11924.37</v>
      </c>
      <c r="S159" s="393">
        <v>15000</v>
      </c>
      <c r="T159" s="393">
        <v>15000</v>
      </c>
      <c r="U159" s="393">
        <v>-11250</v>
      </c>
      <c r="V159" s="393">
        <v>15000</v>
      </c>
      <c r="W159" s="420">
        <v>-10671.1</v>
      </c>
      <c r="X159" s="101">
        <v>15000</v>
      </c>
      <c r="Y159" s="102">
        <v>0</v>
      </c>
      <c r="Z159" s="361">
        <v>15000</v>
      </c>
      <c r="AA159" s="358">
        <v>-15000</v>
      </c>
      <c r="AB159" s="361">
        <v>15000</v>
      </c>
      <c r="AC159" s="358">
        <v>-15000</v>
      </c>
      <c r="AD159" s="361">
        <v>15000</v>
      </c>
      <c r="AE159" s="358">
        <v>-16174.28</v>
      </c>
      <c r="AF159" s="361">
        <v>15000</v>
      </c>
      <c r="AG159" s="759">
        <v>-7500</v>
      </c>
      <c r="AH159" s="866">
        <v>15000</v>
      </c>
      <c r="AI159" s="866">
        <v>15000</v>
      </c>
      <c r="AJ159" s="361">
        <v>15000</v>
      </c>
      <c r="AK159" s="700"/>
      <c r="AM159" s="419"/>
      <c r="AN159" s="106"/>
      <c r="AO159" s="234"/>
    </row>
    <row r="160" spans="1:1026">
      <c r="A160" s="80">
        <v>5</v>
      </c>
      <c r="B160" s="14" t="s">
        <v>16</v>
      </c>
      <c r="C160" s="14">
        <v>1</v>
      </c>
      <c r="D160" s="14" t="s">
        <v>16</v>
      </c>
      <c r="E160" s="15" t="s">
        <v>88</v>
      </c>
      <c r="F160" s="14" t="s">
        <v>16</v>
      </c>
      <c r="G160" s="81" t="s">
        <v>75</v>
      </c>
      <c r="H160" s="251" t="s">
        <v>187</v>
      </c>
      <c r="I160" s="389">
        <v>3000</v>
      </c>
      <c r="J160" s="388">
        <v>2556.1</v>
      </c>
      <c r="K160" s="389">
        <v>3000</v>
      </c>
      <c r="L160" s="388">
        <v>70.8</v>
      </c>
      <c r="M160" s="389">
        <v>2000</v>
      </c>
      <c r="N160" s="388">
        <v>70.8</v>
      </c>
      <c r="O160" s="390">
        <v>2000</v>
      </c>
      <c r="P160" s="391">
        <v>0</v>
      </c>
      <c r="Q160" s="392">
        <v>0</v>
      </c>
      <c r="R160" s="391">
        <v>0</v>
      </c>
      <c r="S160" s="393">
        <v>2000</v>
      </c>
      <c r="T160" s="393">
        <v>2000</v>
      </c>
      <c r="U160" s="393">
        <v>0</v>
      </c>
      <c r="V160" s="393">
        <v>2000</v>
      </c>
      <c r="W160" s="394">
        <v>-958.75</v>
      </c>
      <c r="X160" s="101">
        <v>0</v>
      </c>
      <c r="Y160" s="102">
        <v>0</v>
      </c>
      <c r="Z160" s="361">
        <v>1000</v>
      </c>
      <c r="AA160" s="358">
        <v>-506.9</v>
      </c>
      <c r="AB160" s="361">
        <v>1000</v>
      </c>
      <c r="AC160" s="358">
        <v>-506.9</v>
      </c>
      <c r="AD160" s="361">
        <v>1500</v>
      </c>
      <c r="AE160" s="358">
        <v>-1480.92</v>
      </c>
      <c r="AF160" s="361">
        <v>1500</v>
      </c>
      <c r="AG160" s="759">
        <v>-450.81</v>
      </c>
      <c r="AH160" s="866">
        <v>1500</v>
      </c>
      <c r="AI160" s="866">
        <v>1500</v>
      </c>
      <c r="AJ160" s="361">
        <v>1500</v>
      </c>
      <c r="AK160" s="700"/>
      <c r="AM160" s="106"/>
      <c r="AN160" s="106"/>
    </row>
    <row r="161" spans="1:1026">
      <c r="A161" s="80">
        <v>5</v>
      </c>
      <c r="B161" s="14" t="s">
        <v>16</v>
      </c>
      <c r="C161" s="14">
        <v>1</v>
      </c>
      <c r="D161" s="14" t="s">
        <v>16</v>
      </c>
      <c r="E161" s="15" t="s">
        <v>88</v>
      </c>
      <c r="F161" s="14" t="s">
        <v>16</v>
      </c>
      <c r="G161" s="81" t="s">
        <v>132</v>
      </c>
      <c r="H161" s="251" t="s">
        <v>188</v>
      </c>
      <c r="I161" s="389">
        <v>7300</v>
      </c>
      <c r="J161" s="388">
        <v>2742.96</v>
      </c>
      <c r="K161" s="389">
        <v>3000</v>
      </c>
      <c r="L161" s="388">
        <v>2030.5</v>
      </c>
      <c r="M161" s="389">
        <v>4000</v>
      </c>
      <c r="N161" s="388">
        <v>3948.65</v>
      </c>
      <c r="O161" s="390">
        <v>4000</v>
      </c>
      <c r="P161" s="391">
        <v>1299.99</v>
      </c>
      <c r="Q161" s="392">
        <v>4000</v>
      </c>
      <c r="R161" s="391">
        <v>1299.99</v>
      </c>
      <c r="S161" s="393">
        <v>4000</v>
      </c>
      <c r="T161" s="393">
        <v>4000</v>
      </c>
      <c r="U161" s="393">
        <v>-1013.26</v>
      </c>
      <c r="V161" s="393">
        <v>4000</v>
      </c>
      <c r="W161" s="394">
        <v>-1234.07</v>
      </c>
      <c r="X161" s="101">
        <v>2000</v>
      </c>
      <c r="Y161" s="102">
        <v>-1663.44</v>
      </c>
      <c r="Z161" s="132">
        <v>2000</v>
      </c>
      <c r="AA161" s="133">
        <v>-2241.39</v>
      </c>
      <c r="AB161" s="132">
        <v>2000</v>
      </c>
      <c r="AC161" s="133">
        <v>-2241.39</v>
      </c>
      <c r="AD161" s="132">
        <v>2000</v>
      </c>
      <c r="AE161" s="133">
        <v>-2765.5</v>
      </c>
      <c r="AF161" s="132">
        <v>2000</v>
      </c>
      <c r="AG161" s="134">
        <v>-1032.58</v>
      </c>
      <c r="AH161" s="841">
        <v>2000</v>
      </c>
      <c r="AI161" s="841">
        <v>2000</v>
      </c>
      <c r="AJ161" s="132">
        <v>2000</v>
      </c>
      <c r="AK161" s="716"/>
      <c r="AM161" s="106"/>
      <c r="AN161" s="106"/>
    </row>
    <row r="162" spans="1:1026">
      <c r="A162" s="80">
        <v>5</v>
      </c>
      <c r="B162" s="14" t="s">
        <v>16</v>
      </c>
      <c r="C162" s="14">
        <v>1</v>
      </c>
      <c r="D162" s="14" t="s">
        <v>16</v>
      </c>
      <c r="E162" s="15" t="s">
        <v>88</v>
      </c>
      <c r="F162" s="14" t="s">
        <v>16</v>
      </c>
      <c r="G162" s="81" t="s">
        <v>136</v>
      </c>
      <c r="H162" s="251" t="s">
        <v>189</v>
      </c>
      <c r="I162" s="389"/>
      <c r="J162" s="95"/>
      <c r="K162" s="389"/>
      <c r="L162" s="388"/>
      <c r="M162" s="95"/>
      <c r="N162" s="95">
        <v>0</v>
      </c>
      <c r="O162" s="390">
        <v>500</v>
      </c>
      <c r="P162" s="391">
        <v>0</v>
      </c>
      <c r="Q162" s="392">
        <v>500</v>
      </c>
      <c r="R162" s="391">
        <v>0</v>
      </c>
      <c r="S162" s="393">
        <v>1000</v>
      </c>
      <c r="T162" s="393">
        <v>1000</v>
      </c>
      <c r="U162" s="393">
        <v>0</v>
      </c>
      <c r="V162" s="393">
        <v>1000</v>
      </c>
      <c r="W162" s="394">
        <v>0</v>
      </c>
      <c r="X162" s="101">
        <v>1000</v>
      </c>
      <c r="Y162" s="102">
        <v>0</v>
      </c>
      <c r="Z162" s="361">
        <v>2000</v>
      </c>
      <c r="AA162" s="358">
        <v>-2377.5</v>
      </c>
      <c r="AB162" s="361">
        <v>1000</v>
      </c>
      <c r="AC162" s="358">
        <v>-2377.5</v>
      </c>
      <c r="AD162" s="361">
        <v>2500</v>
      </c>
      <c r="AE162" s="358">
        <v>-2831.14</v>
      </c>
      <c r="AF162" s="853">
        <v>3000</v>
      </c>
      <c r="AG162" s="759">
        <v>-510.37</v>
      </c>
      <c r="AH162" s="421">
        <v>5000</v>
      </c>
      <c r="AI162" s="421">
        <v>5000</v>
      </c>
      <c r="AJ162" s="1063">
        <v>3000</v>
      </c>
      <c r="AK162" s="700"/>
      <c r="AM162" s="106"/>
      <c r="AN162" s="106"/>
    </row>
    <row r="163" spans="1:1026">
      <c r="A163" s="80">
        <v>5</v>
      </c>
      <c r="B163" s="14" t="s">
        <v>16</v>
      </c>
      <c r="C163" s="14">
        <v>1</v>
      </c>
      <c r="D163" s="14" t="s">
        <v>16</v>
      </c>
      <c r="E163" s="15" t="s">
        <v>88</v>
      </c>
      <c r="F163" s="14" t="s">
        <v>16</v>
      </c>
      <c r="G163" s="81" t="s">
        <v>139</v>
      </c>
      <c r="H163" s="251" t="s">
        <v>190</v>
      </c>
      <c r="I163" s="389">
        <v>4000</v>
      </c>
      <c r="J163" s="388">
        <v>3599.33</v>
      </c>
      <c r="K163" s="389">
        <v>6000</v>
      </c>
      <c r="L163" s="388">
        <v>1135.1600000000001</v>
      </c>
      <c r="M163" s="389">
        <v>6000</v>
      </c>
      <c r="N163" s="388">
        <v>2121.23</v>
      </c>
      <c r="O163" s="390">
        <v>8000</v>
      </c>
      <c r="P163" s="391">
        <v>2027.35</v>
      </c>
      <c r="Q163" s="392">
        <v>8000</v>
      </c>
      <c r="R163" s="391">
        <v>4227.32</v>
      </c>
      <c r="S163" s="393">
        <v>8000</v>
      </c>
      <c r="T163" s="393">
        <v>8000</v>
      </c>
      <c r="U163" s="393">
        <v>-1305.21</v>
      </c>
      <c r="V163" s="393">
        <v>8000</v>
      </c>
      <c r="W163" s="394">
        <v>-3125.76</v>
      </c>
      <c r="X163" s="101">
        <v>4000</v>
      </c>
      <c r="Y163" s="102">
        <v>-3288.69</v>
      </c>
      <c r="Z163" s="132">
        <v>6000</v>
      </c>
      <c r="AA163" s="133">
        <v>-4729.67</v>
      </c>
      <c r="AB163" s="132">
        <v>6000</v>
      </c>
      <c r="AC163" s="133">
        <v>-4729.67</v>
      </c>
      <c r="AD163" s="132">
        <v>4500</v>
      </c>
      <c r="AE163" s="133">
        <v>-4214.96</v>
      </c>
      <c r="AF163" s="132">
        <v>4500</v>
      </c>
      <c r="AG163" s="134">
        <v>-2458.9</v>
      </c>
      <c r="AH163" s="841">
        <v>4500</v>
      </c>
      <c r="AI163" s="841">
        <v>4500</v>
      </c>
      <c r="AJ163" s="132">
        <v>4500</v>
      </c>
      <c r="AK163" s="716"/>
      <c r="AM163" s="106"/>
      <c r="AN163" s="106"/>
    </row>
    <row r="164" spans="1:1026">
      <c r="A164" s="80">
        <v>5</v>
      </c>
      <c r="B164" s="14" t="s">
        <v>16</v>
      </c>
      <c r="C164" s="14">
        <v>1</v>
      </c>
      <c r="D164" s="14" t="s">
        <v>16</v>
      </c>
      <c r="E164" s="15" t="s">
        <v>88</v>
      </c>
      <c r="F164" s="14" t="s">
        <v>16</v>
      </c>
      <c r="G164" s="81" t="s">
        <v>142</v>
      </c>
      <c r="H164" s="251" t="s">
        <v>191</v>
      </c>
      <c r="I164" s="389">
        <v>5000</v>
      </c>
      <c r="J164" s="388">
        <v>4999.79</v>
      </c>
      <c r="K164" s="389">
        <v>10000</v>
      </c>
      <c r="L164" s="388">
        <v>748.44</v>
      </c>
      <c r="M164" s="389">
        <v>10000</v>
      </c>
      <c r="N164" s="388">
        <v>850.34</v>
      </c>
      <c r="O164" s="390">
        <v>15000</v>
      </c>
      <c r="P164" s="391">
        <v>273.7</v>
      </c>
      <c r="Q164" s="392">
        <v>10000</v>
      </c>
      <c r="R164" s="391">
        <v>273.7</v>
      </c>
      <c r="S164" s="393">
        <v>15000</v>
      </c>
      <c r="T164" s="393">
        <v>15000</v>
      </c>
      <c r="U164" s="393">
        <v>-647.29999999999995</v>
      </c>
      <c r="V164" s="393">
        <v>15000</v>
      </c>
      <c r="W164" s="420">
        <v>-2325.96</v>
      </c>
      <c r="X164" s="101">
        <v>5000</v>
      </c>
      <c r="Y164" s="102">
        <v>0</v>
      </c>
      <c r="Z164" s="361">
        <v>5000</v>
      </c>
      <c r="AA164" s="358">
        <v>-3780.84</v>
      </c>
      <c r="AB164" s="361">
        <v>7000</v>
      </c>
      <c r="AC164" s="358">
        <v>-3780.84</v>
      </c>
      <c r="AD164" s="361">
        <v>5000</v>
      </c>
      <c r="AE164" s="358">
        <v>-569.97</v>
      </c>
      <c r="AF164" s="361">
        <v>5000</v>
      </c>
      <c r="AG164" s="759">
        <v>-541.59</v>
      </c>
      <c r="AH164" s="866">
        <v>5000</v>
      </c>
      <c r="AI164" s="866">
        <v>5000</v>
      </c>
      <c r="AJ164" s="361">
        <v>5000</v>
      </c>
      <c r="AK164" s="706"/>
      <c r="AM164" s="106"/>
      <c r="AN164" s="106"/>
    </row>
    <row r="165" spans="1:1026" s="902" customFormat="1">
      <c r="A165" s="882">
        <v>5</v>
      </c>
      <c r="B165" s="883" t="s">
        <v>16</v>
      </c>
      <c r="C165" s="883">
        <v>1</v>
      </c>
      <c r="D165" s="883" t="s">
        <v>16</v>
      </c>
      <c r="E165" s="884" t="s">
        <v>88</v>
      </c>
      <c r="F165" s="883" t="s">
        <v>16</v>
      </c>
      <c r="G165" s="885" t="s">
        <v>145</v>
      </c>
      <c r="H165" s="886" t="s">
        <v>192</v>
      </c>
      <c r="I165" s="985">
        <v>2000</v>
      </c>
      <c r="J165" s="986">
        <v>2029.92</v>
      </c>
      <c r="K165" s="985">
        <v>2000</v>
      </c>
      <c r="L165" s="986">
        <v>1329.22</v>
      </c>
      <c r="M165" s="985">
        <v>2000</v>
      </c>
      <c r="N165" s="986">
        <v>1760.54</v>
      </c>
      <c r="O165" s="987">
        <v>2000</v>
      </c>
      <c r="P165" s="988">
        <v>952.64</v>
      </c>
      <c r="Q165" s="989">
        <v>2000</v>
      </c>
      <c r="R165" s="988">
        <v>1342.64</v>
      </c>
      <c r="S165" s="990">
        <v>2000</v>
      </c>
      <c r="T165" s="990">
        <v>2000</v>
      </c>
      <c r="U165" s="990">
        <v>-970.45</v>
      </c>
      <c r="V165" s="990">
        <v>2000</v>
      </c>
      <c r="W165" s="991">
        <v>-1230.45</v>
      </c>
      <c r="X165" s="933">
        <v>2000</v>
      </c>
      <c r="Y165" s="934">
        <v>-705.39</v>
      </c>
      <c r="Z165" s="935">
        <v>2000</v>
      </c>
      <c r="AA165" s="936">
        <v>-1749.97</v>
      </c>
      <c r="AB165" s="935">
        <v>1750</v>
      </c>
      <c r="AC165" s="936">
        <v>-1749.97</v>
      </c>
      <c r="AD165" s="935">
        <v>1750</v>
      </c>
      <c r="AE165" s="936">
        <v>-1803.77</v>
      </c>
      <c r="AF165" s="935">
        <v>1750</v>
      </c>
      <c r="AG165" s="937">
        <v>-838.31</v>
      </c>
      <c r="AH165" s="935">
        <v>1750</v>
      </c>
      <c r="AI165" s="935">
        <v>1800</v>
      </c>
      <c r="AJ165" s="935">
        <v>1800</v>
      </c>
      <c r="AK165" s="907"/>
      <c r="AL165" s="899"/>
      <c r="AM165" s="900"/>
      <c r="AN165" s="900"/>
      <c r="AO165" s="901"/>
      <c r="AP165" s="901"/>
      <c r="AQ165" s="901"/>
      <c r="AR165" s="901"/>
      <c r="AS165" s="901"/>
      <c r="AT165" s="901"/>
      <c r="AU165" s="901"/>
      <c r="AV165" s="901"/>
      <c r="AW165" s="901"/>
      <c r="AX165" s="901"/>
      <c r="AY165" s="901"/>
      <c r="AZ165" s="901"/>
      <c r="BA165" s="901"/>
      <c r="BB165" s="901"/>
      <c r="BC165" s="901"/>
      <c r="BD165" s="901"/>
      <c r="BE165" s="901"/>
      <c r="BF165" s="901"/>
      <c r="BG165" s="901"/>
      <c r="BH165" s="901"/>
      <c r="BI165" s="901"/>
      <c r="BJ165" s="901"/>
      <c r="BK165" s="901"/>
      <c r="BL165" s="901"/>
      <c r="BM165" s="901"/>
      <c r="BN165" s="901"/>
      <c r="BO165" s="901"/>
      <c r="BP165" s="901"/>
      <c r="BQ165" s="901"/>
      <c r="BR165" s="901"/>
      <c r="BS165" s="901"/>
      <c r="BT165" s="901"/>
      <c r="BU165" s="901"/>
      <c r="BV165" s="901"/>
      <c r="BW165" s="901"/>
      <c r="BX165" s="901"/>
      <c r="BY165" s="901"/>
      <c r="BZ165" s="901"/>
      <c r="CA165" s="901"/>
      <c r="CB165" s="901"/>
      <c r="CC165" s="901"/>
      <c r="CD165" s="901"/>
      <c r="CE165" s="901"/>
      <c r="CF165" s="901"/>
      <c r="CG165" s="901"/>
      <c r="CH165" s="901"/>
      <c r="CI165" s="901"/>
      <c r="CJ165" s="901"/>
      <c r="CK165" s="901"/>
      <c r="CL165" s="901"/>
      <c r="CM165" s="901"/>
      <c r="CN165" s="901"/>
      <c r="CO165" s="901"/>
      <c r="CP165" s="901"/>
      <c r="CQ165" s="901"/>
      <c r="CR165" s="901"/>
      <c r="CS165" s="901"/>
      <c r="CT165" s="901"/>
      <c r="CU165" s="901"/>
      <c r="CV165" s="901"/>
      <c r="CW165" s="901"/>
      <c r="CX165" s="901"/>
      <c r="CY165" s="901"/>
      <c r="CZ165" s="901"/>
      <c r="DA165" s="901"/>
      <c r="DB165" s="901"/>
      <c r="DC165" s="901"/>
      <c r="DD165" s="901"/>
      <c r="DE165" s="901"/>
      <c r="DF165" s="901"/>
      <c r="DG165" s="901"/>
      <c r="DH165" s="901"/>
      <c r="DI165" s="901"/>
      <c r="DJ165" s="901"/>
      <c r="DK165" s="901"/>
      <c r="DL165" s="901"/>
      <c r="DM165" s="901"/>
      <c r="DN165" s="901"/>
      <c r="DO165" s="901"/>
      <c r="DP165" s="901"/>
      <c r="DQ165" s="901"/>
      <c r="DR165" s="901"/>
      <c r="DS165" s="901"/>
      <c r="DT165" s="901"/>
      <c r="DU165" s="901"/>
      <c r="DV165" s="901"/>
      <c r="DW165" s="901"/>
      <c r="DX165" s="901"/>
      <c r="DY165" s="901"/>
      <c r="DZ165" s="901"/>
      <c r="EA165" s="901"/>
      <c r="EB165" s="901"/>
      <c r="EC165" s="901"/>
      <c r="ED165" s="901"/>
      <c r="EE165" s="901"/>
      <c r="EF165" s="901"/>
      <c r="EG165" s="901"/>
      <c r="EH165" s="901"/>
      <c r="EI165" s="901"/>
      <c r="EJ165" s="901"/>
      <c r="EK165" s="901"/>
      <c r="EL165" s="901"/>
      <c r="EM165" s="901"/>
      <c r="EN165" s="901"/>
      <c r="EO165" s="901"/>
      <c r="EP165" s="901"/>
      <c r="EQ165" s="901"/>
      <c r="ER165" s="901"/>
      <c r="ES165" s="901"/>
      <c r="ET165" s="901"/>
      <c r="EU165" s="901"/>
      <c r="EV165" s="901"/>
      <c r="EW165" s="901"/>
      <c r="EX165" s="901"/>
      <c r="EY165" s="901"/>
      <c r="EZ165" s="901"/>
      <c r="FA165" s="901"/>
      <c r="FB165" s="901"/>
      <c r="FC165" s="901"/>
      <c r="FD165" s="901"/>
      <c r="FE165" s="901"/>
      <c r="FF165" s="901"/>
      <c r="FG165" s="901"/>
      <c r="FH165" s="901"/>
      <c r="FI165" s="901"/>
      <c r="FJ165" s="901"/>
      <c r="FK165" s="901"/>
      <c r="FL165" s="901"/>
      <c r="FM165" s="901"/>
      <c r="FN165" s="901"/>
      <c r="FO165" s="901"/>
      <c r="FP165" s="901"/>
      <c r="FQ165" s="901"/>
      <c r="FR165" s="901"/>
      <c r="FS165" s="901"/>
      <c r="FT165" s="901"/>
      <c r="FU165" s="901"/>
      <c r="FV165" s="901"/>
      <c r="FW165" s="901"/>
      <c r="FX165" s="901"/>
      <c r="FY165" s="901"/>
      <c r="FZ165" s="901"/>
      <c r="GA165" s="901"/>
      <c r="GB165" s="901"/>
      <c r="GC165" s="901"/>
      <c r="GD165" s="901"/>
      <c r="GE165" s="901"/>
      <c r="GF165" s="901"/>
      <c r="GG165" s="901"/>
      <c r="GH165" s="901"/>
      <c r="GI165" s="901"/>
      <c r="GJ165" s="901"/>
      <c r="GK165" s="901"/>
      <c r="GL165" s="901"/>
      <c r="GM165" s="901"/>
      <c r="GN165" s="901"/>
      <c r="GO165" s="901"/>
      <c r="GP165" s="901"/>
      <c r="GQ165" s="901"/>
      <c r="GR165" s="901"/>
      <c r="GS165" s="901"/>
      <c r="GT165" s="901"/>
      <c r="GU165" s="901"/>
      <c r="GV165" s="901"/>
      <c r="GW165" s="901"/>
      <c r="GX165" s="901"/>
      <c r="GY165" s="901"/>
      <c r="GZ165" s="901"/>
      <c r="HA165" s="901"/>
      <c r="HB165" s="901"/>
      <c r="HC165" s="901"/>
      <c r="HD165" s="901"/>
      <c r="HE165" s="901"/>
      <c r="HF165" s="901"/>
      <c r="HG165" s="901"/>
      <c r="HH165" s="901"/>
      <c r="HI165" s="901"/>
      <c r="HJ165" s="901"/>
      <c r="HK165" s="901"/>
      <c r="HL165" s="901"/>
      <c r="HM165" s="901"/>
      <c r="HN165" s="901"/>
      <c r="HO165" s="901"/>
      <c r="HP165" s="901"/>
      <c r="HQ165" s="901"/>
      <c r="HR165" s="901"/>
      <c r="HS165" s="901"/>
      <c r="HT165" s="901"/>
      <c r="HU165" s="901"/>
      <c r="HV165" s="901"/>
      <c r="HW165" s="901"/>
      <c r="HX165" s="901"/>
      <c r="HY165" s="901"/>
      <c r="HZ165" s="901"/>
      <c r="IA165" s="901"/>
      <c r="IB165" s="901"/>
      <c r="IC165" s="901"/>
      <c r="ID165" s="901"/>
      <c r="IE165" s="901"/>
      <c r="IF165" s="901"/>
      <c r="IG165" s="901"/>
      <c r="IH165" s="901"/>
      <c r="II165" s="901"/>
      <c r="IJ165" s="901"/>
      <c r="IK165" s="901"/>
      <c r="IL165" s="901"/>
      <c r="IM165" s="901"/>
      <c r="IN165" s="901"/>
      <c r="IO165" s="901"/>
      <c r="IP165" s="901"/>
      <c r="IQ165" s="901"/>
      <c r="IR165" s="901"/>
      <c r="IS165" s="901"/>
      <c r="IT165" s="901"/>
      <c r="IU165" s="901"/>
      <c r="IV165" s="901"/>
      <c r="IW165" s="901"/>
      <c r="IX165" s="901"/>
      <c r="IY165" s="901"/>
      <c r="IZ165" s="901"/>
      <c r="JA165" s="901"/>
      <c r="JB165" s="901"/>
      <c r="JC165" s="901"/>
      <c r="JD165" s="901"/>
      <c r="JE165" s="901"/>
      <c r="JF165" s="901"/>
      <c r="JG165" s="901"/>
      <c r="JH165" s="901"/>
      <c r="JI165" s="901"/>
      <c r="JJ165" s="901"/>
      <c r="JK165" s="901"/>
      <c r="JL165" s="901"/>
      <c r="JM165" s="901"/>
      <c r="JN165" s="901"/>
      <c r="JO165" s="901"/>
      <c r="JP165" s="901"/>
      <c r="JQ165" s="901"/>
      <c r="JR165" s="901"/>
      <c r="JS165" s="901"/>
      <c r="JT165" s="901"/>
      <c r="JU165" s="901"/>
      <c r="JV165" s="901"/>
      <c r="JW165" s="901"/>
      <c r="JX165" s="901"/>
      <c r="JY165" s="901"/>
      <c r="JZ165" s="901"/>
      <c r="KA165" s="901"/>
      <c r="KB165" s="901"/>
      <c r="KC165" s="901"/>
      <c r="KD165" s="901"/>
      <c r="KE165" s="901"/>
      <c r="KF165" s="901"/>
      <c r="KG165" s="901"/>
      <c r="KH165" s="901"/>
      <c r="KI165" s="901"/>
      <c r="KJ165" s="901"/>
      <c r="KK165" s="901"/>
      <c r="KL165" s="901"/>
      <c r="KM165" s="901"/>
      <c r="KN165" s="901"/>
      <c r="KO165" s="901"/>
      <c r="KP165" s="901"/>
      <c r="KQ165" s="901"/>
      <c r="KR165" s="901"/>
      <c r="KS165" s="901"/>
      <c r="KT165" s="901"/>
      <c r="KU165" s="901"/>
      <c r="KV165" s="901"/>
      <c r="KW165" s="901"/>
      <c r="KX165" s="901"/>
      <c r="KY165" s="901"/>
      <c r="KZ165" s="901"/>
      <c r="LA165" s="901"/>
      <c r="LB165" s="901"/>
      <c r="LC165" s="901"/>
      <c r="LD165" s="901"/>
      <c r="LE165" s="901"/>
      <c r="LF165" s="901"/>
      <c r="LG165" s="901"/>
      <c r="LH165" s="901"/>
      <c r="LI165" s="901"/>
      <c r="LJ165" s="901"/>
      <c r="LK165" s="901"/>
      <c r="LL165" s="901"/>
      <c r="LM165" s="901"/>
      <c r="LN165" s="901"/>
      <c r="LO165" s="901"/>
      <c r="LP165" s="901"/>
      <c r="LQ165" s="901"/>
      <c r="LR165" s="901"/>
      <c r="LS165" s="901"/>
      <c r="LT165" s="901"/>
      <c r="LU165" s="901"/>
      <c r="LV165" s="901"/>
      <c r="LW165" s="901"/>
      <c r="LX165" s="901"/>
      <c r="LY165" s="901"/>
      <c r="LZ165" s="901"/>
      <c r="MA165" s="901"/>
      <c r="MB165" s="901"/>
      <c r="MC165" s="901"/>
      <c r="MD165" s="901"/>
      <c r="ME165" s="901"/>
      <c r="MF165" s="901"/>
      <c r="MG165" s="901"/>
      <c r="MH165" s="901"/>
      <c r="MI165" s="901"/>
      <c r="MJ165" s="901"/>
      <c r="MK165" s="901"/>
      <c r="ML165" s="901"/>
      <c r="MM165" s="901"/>
      <c r="MN165" s="901"/>
      <c r="MO165" s="901"/>
      <c r="MP165" s="901"/>
      <c r="MQ165" s="901"/>
      <c r="MR165" s="901"/>
      <c r="MS165" s="901"/>
      <c r="MT165" s="901"/>
      <c r="MU165" s="901"/>
      <c r="MV165" s="901"/>
      <c r="MW165" s="901"/>
      <c r="MX165" s="901"/>
      <c r="MY165" s="901"/>
      <c r="MZ165" s="901"/>
      <c r="NA165" s="901"/>
      <c r="NB165" s="901"/>
      <c r="NC165" s="901"/>
      <c r="ND165" s="901"/>
      <c r="NE165" s="901"/>
      <c r="NF165" s="901"/>
      <c r="NG165" s="901"/>
      <c r="NH165" s="901"/>
      <c r="NI165" s="901"/>
      <c r="NJ165" s="901"/>
      <c r="NK165" s="901"/>
      <c r="NL165" s="901"/>
      <c r="NM165" s="901"/>
      <c r="NN165" s="901"/>
      <c r="NO165" s="901"/>
      <c r="NP165" s="901"/>
      <c r="NQ165" s="901"/>
      <c r="NR165" s="901"/>
      <c r="NS165" s="901"/>
      <c r="NT165" s="901"/>
      <c r="NU165" s="901"/>
      <c r="NV165" s="901"/>
      <c r="NW165" s="901"/>
      <c r="NX165" s="901"/>
      <c r="NY165" s="901"/>
      <c r="NZ165" s="901"/>
      <c r="OA165" s="901"/>
      <c r="OB165" s="901"/>
      <c r="OC165" s="901"/>
      <c r="OD165" s="901"/>
      <c r="OE165" s="901"/>
      <c r="OF165" s="901"/>
      <c r="OG165" s="901"/>
      <c r="OH165" s="901"/>
      <c r="OI165" s="901"/>
      <c r="OJ165" s="901"/>
      <c r="OK165" s="901"/>
      <c r="OL165" s="901"/>
      <c r="OM165" s="901"/>
      <c r="ON165" s="901"/>
      <c r="OO165" s="901"/>
      <c r="OP165" s="901"/>
      <c r="OQ165" s="901"/>
      <c r="OR165" s="901"/>
      <c r="OS165" s="901"/>
      <c r="OT165" s="901"/>
      <c r="OU165" s="901"/>
      <c r="OV165" s="901"/>
      <c r="OW165" s="901"/>
      <c r="OX165" s="901"/>
      <c r="OY165" s="901"/>
      <c r="OZ165" s="901"/>
      <c r="PA165" s="901"/>
      <c r="PB165" s="901"/>
      <c r="PC165" s="901"/>
      <c r="PD165" s="901"/>
      <c r="PE165" s="901"/>
      <c r="PF165" s="901"/>
      <c r="PG165" s="901"/>
      <c r="PH165" s="901"/>
      <c r="PI165" s="901"/>
      <c r="PJ165" s="901"/>
      <c r="PK165" s="901"/>
      <c r="PL165" s="901"/>
      <c r="PM165" s="901"/>
      <c r="PN165" s="901"/>
      <c r="PO165" s="901"/>
      <c r="PP165" s="901"/>
      <c r="PQ165" s="901"/>
      <c r="PR165" s="901"/>
      <c r="PS165" s="901"/>
      <c r="PT165" s="901"/>
      <c r="PU165" s="901"/>
      <c r="PV165" s="901"/>
      <c r="PW165" s="901"/>
      <c r="PX165" s="901"/>
      <c r="PY165" s="901"/>
      <c r="PZ165" s="901"/>
      <c r="QA165" s="901"/>
      <c r="QB165" s="901"/>
      <c r="QC165" s="901"/>
      <c r="QD165" s="901"/>
      <c r="QE165" s="901"/>
      <c r="QF165" s="901"/>
      <c r="QG165" s="901"/>
      <c r="QH165" s="901"/>
      <c r="QI165" s="901"/>
      <c r="QJ165" s="901"/>
      <c r="QK165" s="901"/>
      <c r="QL165" s="901"/>
      <c r="QM165" s="901"/>
      <c r="QN165" s="901"/>
      <c r="QO165" s="901"/>
      <c r="QP165" s="901"/>
      <c r="QQ165" s="901"/>
      <c r="QR165" s="901"/>
      <c r="QS165" s="901"/>
      <c r="QT165" s="901"/>
      <c r="QU165" s="901"/>
      <c r="QV165" s="901"/>
      <c r="QW165" s="901"/>
      <c r="QX165" s="901"/>
      <c r="QY165" s="901"/>
      <c r="QZ165" s="901"/>
      <c r="RA165" s="901"/>
      <c r="RB165" s="901"/>
      <c r="RC165" s="901"/>
      <c r="RD165" s="901"/>
      <c r="RE165" s="901"/>
      <c r="RF165" s="901"/>
      <c r="RG165" s="901"/>
      <c r="RH165" s="901"/>
      <c r="RI165" s="901"/>
      <c r="RJ165" s="901"/>
      <c r="RK165" s="901"/>
      <c r="RL165" s="901"/>
      <c r="RM165" s="901"/>
      <c r="RN165" s="901"/>
      <c r="RO165" s="901"/>
      <c r="RP165" s="901"/>
      <c r="RQ165" s="901"/>
      <c r="RR165" s="901"/>
      <c r="RS165" s="901"/>
      <c r="RT165" s="901"/>
      <c r="RU165" s="901"/>
      <c r="RV165" s="901"/>
      <c r="RW165" s="901"/>
      <c r="RX165" s="901"/>
      <c r="RY165" s="901"/>
      <c r="RZ165" s="901"/>
      <c r="SA165" s="901"/>
      <c r="SB165" s="901"/>
      <c r="SC165" s="901"/>
      <c r="SD165" s="901"/>
      <c r="SE165" s="901"/>
      <c r="SF165" s="901"/>
      <c r="SG165" s="901"/>
      <c r="SH165" s="901"/>
      <c r="SI165" s="901"/>
      <c r="SJ165" s="901"/>
      <c r="SK165" s="901"/>
      <c r="SL165" s="901"/>
      <c r="SM165" s="901"/>
      <c r="SN165" s="901"/>
      <c r="SO165" s="901"/>
      <c r="SP165" s="901"/>
      <c r="SQ165" s="901"/>
      <c r="SR165" s="901"/>
      <c r="SS165" s="901"/>
      <c r="ST165" s="901"/>
      <c r="SU165" s="901"/>
      <c r="SV165" s="901"/>
      <c r="SW165" s="901"/>
      <c r="SX165" s="901"/>
      <c r="SY165" s="901"/>
      <c r="SZ165" s="901"/>
      <c r="TA165" s="901"/>
      <c r="TB165" s="901"/>
      <c r="TC165" s="901"/>
      <c r="TD165" s="901"/>
      <c r="TE165" s="901"/>
      <c r="TF165" s="901"/>
      <c r="TG165" s="901"/>
      <c r="TH165" s="901"/>
      <c r="TI165" s="901"/>
      <c r="TJ165" s="901"/>
      <c r="TK165" s="901"/>
      <c r="TL165" s="901"/>
      <c r="TM165" s="901"/>
      <c r="TN165" s="901"/>
      <c r="TO165" s="901"/>
      <c r="TP165" s="901"/>
      <c r="TQ165" s="901"/>
      <c r="TR165" s="901"/>
      <c r="TS165" s="901"/>
      <c r="TT165" s="901"/>
      <c r="TU165" s="901"/>
      <c r="TV165" s="901"/>
      <c r="TW165" s="901"/>
      <c r="TX165" s="901"/>
      <c r="TY165" s="901"/>
      <c r="TZ165" s="901"/>
      <c r="UA165" s="901"/>
      <c r="UB165" s="901"/>
      <c r="UC165" s="901"/>
      <c r="UD165" s="901"/>
      <c r="UE165" s="901"/>
      <c r="UF165" s="901"/>
      <c r="UG165" s="901"/>
      <c r="UH165" s="901"/>
      <c r="UI165" s="901"/>
      <c r="UJ165" s="901"/>
      <c r="UK165" s="901"/>
      <c r="UL165" s="901"/>
      <c r="UM165" s="901"/>
      <c r="UN165" s="901"/>
      <c r="UO165" s="901"/>
      <c r="UP165" s="901"/>
      <c r="UQ165" s="901"/>
      <c r="UR165" s="901"/>
      <c r="US165" s="901"/>
      <c r="UT165" s="901"/>
      <c r="UU165" s="901"/>
      <c r="UV165" s="901"/>
      <c r="UW165" s="901"/>
      <c r="UX165" s="901"/>
      <c r="UY165" s="901"/>
      <c r="UZ165" s="901"/>
      <c r="VA165" s="901"/>
      <c r="VB165" s="901"/>
      <c r="VC165" s="901"/>
      <c r="VD165" s="901"/>
      <c r="VE165" s="901"/>
      <c r="VF165" s="901"/>
      <c r="VG165" s="901"/>
      <c r="VH165" s="901"/>
      <c r="VI165" s="901"/>
      <c r="VJ165" s="901"/>
      <c r="VK165" s="901"/>
      <c r="VL165" s="901"/>
      <c r="VM165" s="901"/>
      <c r="VN165" s="901"/>
      <c r="VO165" s="901"/>
      <c r="VP165" s="901"/>
      <c r="VQ165" s="901"/>
      <c r="VR165" s="901"/>
      <c r="VS165" s="901"/>
      <c r="VT165" s="901"/>
      <c r="VU165" s="901"/>
      <c r="VV165" s="901"/>
      <c r="VW165" s="901"/>
      <c r="VX165" s="901"/>
      <c r="VY165" s="901"/>
      <c r="VZ165" s="901"/>
      <c r="WA165" s="901"/>
      <c r="WB165" s="901"/>
      <c r="WC165" s="901"/>
      <c r="WD165" s="901"/>
      <c r="WE165" s="901"/>
      <c r="WF165" s="901"/>
      <c r="WG165" s="901"/>
      <c r="WH165" s="901"/>
      <c r="WI165" s="901"/>
      <c r="WJ165" s="901"/>
      <c r="WK165" s="901"/>
      <c r="WL165" s="901"/>
      <c r="WM165" s="901"/>
      <c r="WN165" s="901"/>
      <c r="WO165" s="901"/>
      <c r="WP165" s="901"/>
      <c r="WQ165" s="901"/>
      <c r="WR165" s="901"/>
      <c r="WS165" s="901"/>
      <c r="WT165" s="901"/>
      <c r="WU165" s="901"/>
      <c r="WV165" s="901"/>
      <c r="WW165" s="901"/>
      <c r="WX165" s="901"/>
      <c r="WY165" s="901"/>
      <c r="WZ165" s="901"/>
      <c r="XA165" s="901"/>
      <c r="XB165" s="901"/>
      <c r="XC165" s="901"/>
      <c r="XD165" s="901"/>
      <c r="XE165" s="901"/>
      <c r="XF165" s="901"/>
      <c r="XG165" s="901"/>
      <c r="XH165" s="901"/>
      <c r="XI165" s="901"/>
      <c r="XJ165" s="901"/>
      <c r="XK165" s="901"/>
      <c r="XL165" s="901"/>
      <c r="XM165" s="901"/>
      <c r="XN165" s="901"/>
      <c r="XO165" s="901"/>
      <c r="XP165" s="901"/>
      <c r="XQ165" s="901"/>
      <c r="XR165" s="901"/>
      <c r="XS165" s="901"/>
      <c r="XT165" s="901"/>
      <c r="XU165" s="901"/>
      <c r="XV165" s="901"/>
      <c r="XW165" s="901"/>
      <c r="XX165" s="901"/>
      <c r="XY165" s="901"/>
      <c r="XZ165" s="901"/>
      <c r="YA165" s="901"/>
      <c r="YB165" s="901"/>
      <c r="YC165" s="901"/>
      <c r="YD165" s="901"/>
      <c r="YE165" s="901"/>
      <c r="YF165" s="901"/>
      <c r="YG165" s="901"/>
      <c r="YH165" s="901"/>
      <c r="YI165" s="901"/>
      <c r="YJ165" s="901"/>
      <c r="YK165" s="901"/>
      <c r="YL165" s="901"/>
      <c r="YM165" s="901"/>
      <c r="YN165" s="901"/>
      <c r="YO165" s="901"/>
      <c r="YP165" s="901"/>
      <c r="YQ165" s="901"/>
      <c r="YR165" s="901"/>
      <c r="YS165" s="901"/>
      <c r="YT165" s="901"/>
      <c r="YU165" s="901"/>
      <c r="YV165" s="901"/>
      <c r="YW165" s="901"/>
      <c r="YX165" s="901"/>
      <c r="YY165" s="901"/>
      <c r="YZ165" s="901"/>
      <c r="ZA165" s="901"/>
      <c r="ZB165" s="901"/>
      <c r="ZC165" s="901"/>
      <c r="ZD165" s="901"/>
      <c r="ZE165" s="901"/>
      <c r="ZF165" s="901"/>
      <c r="ZG165" s="901"/>
      <c r="ZH165" s="901"/>
      <c r="ZI165" s="901"/>
      <c r="ZJ165" s="901"/>
      <c r="ZK165" s="901"/>
      <c r="ZL165" s="901"/>
      <c r="ZM165" s="901"/>
      <c r="ZN165" s="901"/>
      <c r="ZO165" s="901"/>
      <c r="ZP165" s="901"/>
      <c r="ZQ165" s="901"/>
      <c r="ZR165" s="901"/>
      <c r="ZS165" s="901"/>
      <c r="ZT165" s="901"/>
      <c r="ZU165" s="901"/>
      <c r="ZV165" s="901"/>
      <c r="ZW165" s="901"/>
      <c r="ZX165" s="901"/>
      <c r="ZY165" s="901"/>
      <c r="ZZ165" s="901"/>
      <c r="AAA165" s="901"/>
      <c r="AAB165" s="901"/>
      <c r="AAC165" s="901"/>
      <c r="AAD165" s="901"/>
      <c r="AAE165" s="901"/>
      <c r="AAF165" s="901"/>
      <c r="AAG165" s="901"/>
      <c r="AAH165" s="901"/>
      <c r="AAI165" s="901"/>
      <c r="AAJ165" s="901"/>
      <c r="AAK165" s="901"/>
      <c r="AAL165" s="901"/>
      <c r="AAM165" s="901"/>
      <c r="AAN165" s="901"/>
      <c r="AAO165" s="901"/>
      <c r="AAP165" s="901"/>
      <c r="AAQ165" s="901"/>
      <c r="AAR165" s="901"/>
      <c r="AAS165" s="901"/>
      <c r="AAT165" s="901"/>
      <c r="AAU165" s="901"/>
      <c r="AAV165" s="901"/>
      <c r="AAW165" s="901"/>
      <c r="AAX165" s="901"/>
      <c r="AAY165" s="901"/>
      <c r="AAZ165" s="901"/>
      <c r="ABA165" s="901"/>
      <c r="ABB165" s="901"/>
      <c r="ABC165" s="901"/>
      <c r="ABD165" s="901"/>
      <c r="ABE165" s="901"/>
      <c r="ABF165" s="901"/>
      <c r="ABG165" s="901"/>
      <c r="ABH165" s="901"/>
      <c r="ABI165" s="901"/>
      <c r="ABJ165" s="901"/>
      <c r="ABK165" s="901"/>
      <c r="ABL165" s="901"/>
      <c r="ABM165" s="901"/>
      <c r="ABN165" s="901"/>
      <c r="ABO165" s="901"/>
      <c r="ABP165" s="901"/>
      <c r="ABQ165" s="901"/>
      <c r="ABR165" s="901"/>
      <c r="ABS165" s="901"/>
      <c r="ABT165" s="901"/>
      <c r="ABU165" s="901"/>
      <c r="ABV165" s="901"/>
      <c r="ABW165" s="901"/>
      <c r="ABX165" s="901"/>
      <c r="ABY165" s="901"/>
      <c r="ABZ165" s="901"/>
      <c r="ACA165" s="901"/>
      <c r="ACB165" s="901"/>
      <c r="ACC165" s="901"/>
      <c r="ACD165" s="901"/>
      <c r="ACE165" s="901"/>
      <c r="ACF165" s="901"/>
      <c r="ACG165" s="901"/>
      <c r="ACH165" s="901"/>
      <c r="ACI165" s="901"/>
      <c r="ACJ165" s="901"/>
      <c r="ACK165" s="901"/>
      <c r="ACL165" s="901"/>
      <c r="ACM165" s="901"/>
      <c r="ACN165" s="901"/>
      <c r="ACO165" s="901"/>
      <c r="ACP165" s="901"/>
      <c r="ACQ165" s="901"/>
      <c r="ACR165" s="901"/>
      <c r="ACS165" s="901"/>
      <c r="ACT165" s="901"/>
      <c r="ACU165" s="901"/>
      <c r="ACV165" s="901"/>
      <c r="ACW165" s="901"/>
      <c r="ACX165" s="901"/>
      <c r="ACY165" s="901"/>
      <c r="ACZ165" s="901"/>
      <c r="ADA165" s="901"/>
      <c r="ADB165" s="901"/>
      <c r="ADC165" s="901"/>
      <c r="ADD165" s="901"/>
      <c r="ADE165" s="901"/>
      <c r="ADF165" s="901"/>
      <c r="ADG165" s="901"/>
      <c r="ADH165" s="901"/>
      <c r="ADI165" s="901"/>
      <c r="ADJ165" s="901"/>
      <c r="ADK165" s="901"/>
      <c r="ADL165" s="901"/>
      <c r="ADM165" s="901"/>
      <c r="ADN165" s="901"/>
      <c r="ADO165" s="901"/>
      <c r="ADP165" s="901"/>
      <c r="ADQ165" s="901"/>
      <c r="ADR165" s="901"/>
      <c r="ADS165" s="901"/>
      <c r="ADT165" s="901"/>
      <c r="ADU165" s="901"/>
      <c r="ADV165" s="901"/>
      <c r="ADW165" s="901"/>
      <c r="ADX165" s="901"/>
      <c r="ADY165" s="901"/>
      <c r="ADZ165" s="901"/>
      <c r="AEA165" s="901"/>
      <c r="AEB165" s="901"/>
      <c r="AEC165" s="901"/>
      <c r="AED165" s="901"/>
      <c r="AEE165" s="901"/>
      <c r="AEF165" s="901"/>
      <c r="AEG165" s="901"/>
      <c r="AEH165" s="901"/>
      <c r="AEI165" s="901"/>
      <c r="AEJ165" s="901"/>
      <c r="AEK165" s="901"/>
      <c r="AEL165" s="901"/>
      <c r="AEM165" s="901"/>
      <c r="AEN165" s="901"/>
      <c r="AEO165" s="901"/>
      <c r="AEP165" s="901"/>
      <c r="AEQ165" s="901"/>
      <c r="AER165" s="901"/>
      <c r="AES165" s="901"/>
      <c r="AET165" s="901"/>
      <c r="AEU165" s="901"/>
      <c r="AEV165" s="901"/>
      <c r="AEW165" s="901"/>
      <c r="AEX165" s="901"/>
      <c r="AEY165" s="901"/>
      <c r="AEZ165" s="901"/>
      <c r="AFA165" s="901"/>
      <c r="AFB165" s="901"/>
      <c r="AFC165" s="901"/>
      <c r="AFD165" s="901"/>
      <c r="AFE165" s="901"/>
      <c r="AFF165" s="901"/>
      <c r="AFG165" s="901"/>
      <c r="AFH165" s="901"/>
      <c r="AFI165" s="901"/>
      <c r="AFJ165" s="901"/>
      <c r="AFK165" s="901"/>
      <c r="AFL165" s="901"/>
      <c r="AFM165" s="901"/>
      <c r="AFN165" s="901"/>
      <c r="AFO165" s="901"/>
      <c r="AFP165" s="901"/>
      <c r="AFQ165" s="901"/>
      <c r="AFR165" s="901"/>
      <c r="AFS165" s="901"/>
      <c r="AFT165" s="901"/>
      <c r="AFU165" s="901"/>
      <c r="AFV165" s="901"/>
      <c r="AFW165" s="901"/>
      <c r="AFX165" s="901"/>
      <c r="AFY165" s="901"/>
      <c r="AFZ165" s="901"/>
      <c r="AGA165" s="901"/>
      <c r="AGB165" s="901"/>
      <c r="AGC165" s="901"/>
      <c r="AGD165" s="901"/>
      <c r="AGE165" s="901"/>
      <c r="AGF165" s="901"/>
      <c r="AGG165" s="901"/>
      <c r="AGH165" s="901"/>
      <c r="AGI165" s="901"/>
      <c r="AGJ165" s="901"/>
      <c r="AGK165" s="901"/>
      <c r="AGL165" s="901"/>
      <c r="AGM165" s="901"/>
      <c r="AGN165" s="901"/>
      <c r="AGO165" s="901"/>
      <c r="AGP165" s="901"/>
      <c r="AGQ165" s="901"/>
      <c r="AGR165" s="901"/>
      <c r="AGS165" s="901"/>
      <c r="AGT165" s="901"/>
      <c r="AGU165" s="901"/>
      <c r="AGV165" s="901"/>
      <c r="AGW165" s="901"/>
      <c r="AGX165" s="901"/>
      <c r="AGY165" s="901"/>
      <c r="AGZ165" s="901"/>
      <c r="AHA165" s="901"/>
      <c r="AHB165" s="901"/>
      <c r="AHC165" s="901"/>
      <c r="AHD165" s="901"/>
      <c r="AHE165" s="901"/>
      <c r="AHF165" s="901"/>
      <c r="AHG165" s="901"/>
      <c r="AHH165" s="901"/>
      <c r="AHI165" s="901"/>
      <c r="AHJ165" s="901"/>
      <c r="AHK165" s="901"/>
      <c r="AHL165" s="901"/>
      <c r="AHM165" s="901"/>
      <c r="AHN165" s="901"/>
      <c r="AHO165" s="901"/>
      <c r="AHP165" s="901"/>
      <c r="AHQ165" s="901"/>
      <c r="AHR165" s="901"/>
      <c r="AHS165" s="901"/>
      <c r="AHT165" s="901"/>
      <c r="AHU165" s="901"/>
      <c r="AHV165" s="901"/>
      <c r="AHW165" s="901"/>
      <c r="AHX165" s="901"/>
      <c r="AHY165" s="901"/>
      <c r="AHZ165" s="901"/>
      <c r="AIA165" s="901"/>
      <c r="AIB165" s="901"/>
      <c r="AIC165" s="901"/>
      <c r="AID165" s="901"/>
      <c r="AIE165" s="901"/>
      <c r="AIF165" s="901"/>
      <c r="AIG165" s="901"/>
      <c r="AIH165" s="901"/>
      <c r="AII165" s="901"/>
      <c r="AIJ165" s="901"/>
      <c r="AIK165" s="901"/>
      <c r="AIL165" s="901"/>
      <c r="AIM165" s="901"/>
      <c r="AIN165" s="901"/>
      <c r="AIO165" s="901"/>
      <c r="AIP165" s="901"/>
      <c r="AIQ165" s="901"/>
      <c r="AIR165" s="901"/>
      <c r="AIS165" s="901"/>
      <c r="AIT165" s="901"/>
      <c r="AIU165" s="901"/>
      <c r="AIV165" s="901"/>
      <c r="AIW165" s="901"/>
      <c r="AIX165" s="901"/>
      <c r="AIY165" s="901"/>
      <c r="AIZ165" s="901"/>
      <c r="AJA165" s="901"/>
      <c r="AJB165" s="901"/>
      <c r="AJC165" s="901"/>
      <c r="AJD165" s="901"/>
      <c r="AJE165" s="901"/>
      <c r="AJF165" s="901"/>
      <c r="AJG165" s="901"/>
      <c r="AJH165" s="901"/>
      <c r="AJI165" s="901"/>
      <c r="AJJ165" s="901"/>
      <c r="AJK165" s="901"/>
      <c r="AJL165" s="901"/>
      <c r="AJM165" s="901"/>
      <c r="AJN165" s="901"/>
      <c r="AJO165" s="901"/>
      <c r="AJP165" s="901"/>
      <c r="AJQ165" s="901"/>
      <c r="AJR165" s="901"/>
      <c r="AJS165" s="901"/>
      <c r="AJT165" s="901"/>
      <c r="AJU165" s="901"/>
      <c r="AJV165" s="901"/>
      <c r="AJW165" s="901"/>
      <c r="AJX165" s="901"/>
      <c r="AJY165" s="901"/>
      <c r="AJZ165" s="901"/>
      <c r="AKA165" s="901"/>
      <c r="AKB165" s="901"/>
      <c r="AKC165" s="901"/>
      <c r="AKD165" s="901"/>
      <c r="AKE165" s="901"/>
      <c r="AKF165" s="901"/>
      <c r="AKG165" s="901"/>
      <c r="AKH165" s="901"/>
      <c r="AKI165" s="901"/>
      <c r="AKJ165" s="901"/>
      <c r="AKK165" s="901"/>
      <c r="AKL165" s="901"/>
      <c r="AKM165" s="901"/>
      <c r="AKN165" s="901"/>
      <c r="AKO165" s="901"/>
      <c r="AKP165" s="901"/>
      <c r="AKQ165" s="901"/>
      <c r="AKR165" s="901"/>
      <c r="AKS165" s="901"/>
      <c r="AKT165" s="901"/>
      <c r="AKU165" s="901"/>
      <c r="AKV165" s="901"/>
      <c r="AKW165" s="901"/>
      <c r="AKX165" s="901"/>
      <c r="AKY165" s="901"/>
      <c r="AKZ165" s="901"/>
      <c r="ALA165" s="901"/>
      <c r="ALB165" s="901"/>
      <c r="ALC165" s="901"/>
      <c r="ALD165" s="901"/>
      <c r="ALE165" s="901"/>
      <c r="ALF165" s="901"/>
      <c r="ALG165" s="901"/>
      <c r="ALH165" s="901"/>
      <c r="ALI165" s="901"/>
      <c r="ALJ165" s="901"/>
      <c r="ALK165" s="901"/>
      <c r="ALL165" s="901"/>
      <c r="ALM165" s="901"/>
      <c r="ALN165" s="901"/>
      <c r="ALO165" s="901"/>
      <c r="ALP165" s="901"/>
      <c r="ALQ165" s="901"/>
      <c r="ALR165" s="901"/>
      <c r="ALS165" s="901"/>
      <c r="ALT165" s="901"/>
      <c r="ALU165" s="901"/>
      <c r="ALV165" s="901"/>
      <c r="ALW165" s="901"/>
      <c r="ALX165" s="901"/>
      <c r="ALY165" s="901"/>
      <c r="ALZ165" s="901"/>
      <c r="AMA165" s="901"/>
      <c r="AMB165" s="901"/>
      <c r="AMC165" s="901"/>
      <c r="AMD165" s="901"/>
      <c r="AME165" s="901"/>
      <c r="AMF165" s="901"/>
      <c r="AMG165" s="901"/>
      <c r="AMH165" s="901"/>
      <c r="AMI165" s="901"/>
      <c r="AMJ165" s="901"/>
      <c r="AMK165" s="901"/>
      <c r="AML165" s="901"/>
    </row>
    <row r="166" spans="1:1026" s="902" customFormat="1">
      <c r="A166" s="882">
        <v>5</v>
      </c>
      <c r="B166" s="883" t="s">
        <v>16</v>
      </c>
      <c r="C166" s="883">
        <v>1</v>
      </c>
      <c r="D166" s="883" t="s">
        <v>16</v>
      </c>
      <c r="E166" s="884" t="s">
        <v>88</v>
      </c>
      <c r="F166" s="883" t="s">
        <v>16</v>
      </c>
      <c r="G166" s="885" t="s">
        <v>148</v>
      </c>
      <c r="H166" s="886" t="s">
        <v>193</v>
      </c>
      <c r="I166" s="926"/>
      <c r="J166" s="1003"/>
      <c r="K166" s="926">
        <v>4000</v>
      </c>
      <c r="L166" s="1003">
        <v>285.60000000000002</v>
      </c>
      <c r="M166" s="926">
        <v>4000</v>
      </c>
      <c r="N166" s="927">
        <v>285.60000000000002</v>
      </c>
      <c r="O166" s="929">
        <v>4000</v>
      </c>
      <c r="P166" s="1004">
        <v>1071</v>
      </c>
      <c r="Q166" s="993">
        <v>4000</v>
      </c>
      <c r="R166" s="1004">
        <v>1713.6</v>
      </c>
      <c r="S166" s="931">
        <v>4000</v>
      </c>
      <c r="T166" s="931">
        <v>4000</v>
      </c>
      <c r="U166" s="931">
        <v>-267.75</v>
      </c>
      <c r="V166" s="931">
        <v>4000</v>
      </c>
      <c r="W166" s="932">
        <v>-481.95</v>
      </c>
      <c r="X166" s="933">
        <v>2000</v>
      </c>
      <c r="Y166" s="934">
        <v>0</v>
      </c>
      <c r="Z166" s="935">
        <v>2000</v>
      </c>
      <c r="AA166" s="936">
        <v>-725.35</v>
      </c>
      <c r="AB166" s="935">
        <v>2000</v>
      </c>
      <c r="AC166" s="936">
        <v>-725.35</v>
      </c>
      <c r="AD166" s="935">
        <v>2000</v>
      </c>
      <c r="AE166" s="936"/>
      <c r="AF166" s="935">
        <v>2000</v>
      </c>
      <c r="AG166" s="937"/>
      <c r="AH166" s="935">
        <v>6000</v>
      </c>
      <c r="AI166" s="935">
        <v>3000</v>
      </c>
      <c r="AJ166" s="935">
        <v>3000</v>
      </c>
      <c r="AK166" s="912"/>
      <c r="AL166" s="899"/>
      <c r="AM166" s="900"/>
      <c r="AN166" s="900"/>
      <c r="AO166" s="901"/>
      <c r="AP166" s="901"/>
      <c r="AQ166" s="901"/>
      <c r="AR166" s="901"/>
      <c r="AS166" s="901"/>
      <c r="AT166" s="901"/>
      <c r="AU166" s="901"/>
      <c r="AV166" s="901"/>
      <c r="AW166" s="901"/>
      <c r="AX166" s="901"/>
      <c r="AY166" s="901"/>
      <c r="AZ166" s="901"/>
      <c r="BA166" s="901"/>
      <c r="BB166" s="901"/>
      <c r="BC166" s="901"/>
      <c r="BD166" s="901"/>
      <c r="BE166" s="901"/>
      <c r="BF166" s="901"/>
      <c r="BG166" s="901"/>
      <c r="BH166" s="901"/>
      <c r="BI166" s="901"/>
      <c r="BJ166" s="901"/>
      <c r="BK166" s="901"/>
      <c r="BL166" s="901"/>
      <c r="BM166" s="901"/>
      <c r="BN166" s="901"/>
      <c r="BO166" s="901"/>
      <c r="BP166" s="901"/>
      <c r="BQ166" s="901"/>
      <c r="BR166" s="901"/>
      <c r="BS166" s="901"/>
      <c r="BT166" s="901"/>
      <c r="BU166" s="901"/>
      <c r="BV166" s="901"/>
      <c r="BW166" s="901"/>
      <c r="BX166" s="901"/>
      <c r="BY166" s="901"/>
      <c r="BZ166" s="901"/>
      <c r="CA166" s="901"/>
      <c r="CB166" s="901"/>
      <c r="CC166" s="901"/>
      <c r="CD166" s="901"/>
      <c r="CE166" s="901"/>
      <c r="CF166" s="901"/>
      <c r="CG166" s="901"/>
      <c r="CH166" s="901"/>
      <c r="CI166" s="901"/>
      <c r="CJ166" s="901"/>
      <c r="CK166" s="901"/>
      <c r="CL166" s="901"/>
      <c r="CM166" s="901"/>
      <c r="CN166" s="901"/>
      <c r="CO166" s="901"/>
      <c r="CP166" s="901"/>
      <c r="CQ166" s="901"/>
      <c r="CR166" s="901"/>
      <c r="CS166" s="901"/>
      <c r="CT166" s="901"/>
      <c r="CU166" s="901"/>
      <c r="CV166" s="901"/>
      <c r="CW166" s="901"/>
      <c r="CX166" s="901"/>
      <c r="CY166" s="901"/>
      <c r="CZ166" s="901"/>
      <c r="DA166" s="901"/>
      <c r="DB166" s="901"/>
      <c r="DC166" s="901"/>
      <c r="DD166" s="901"/>
      <c r="DE166" s="901"/>
      <c r="DF166" s="901"/>
      <c r="DG166" s="901"/>
      <c r="DH166" s="901"/>
      <c r="DI166" s="901"/>
      <c r="DJ166" s="901"/>
      <c r="DK166" s="901"/>
      <c r="DL166" s="901"/>
      <c r="DM166" s="901"/>
      <c r="DN166" s="901"/>
      <c r="DO166" s="901"/>
      <c r="DP166" s="901"/>
      <c r="DQ166" s="901"/>
      <c r="DR166" s="901"/>
      <c r="DS166" s="901"/>
      <c r="DT166" s="901"/>
      <c r="DU166" s="901"/>
      <c r="DV166" s="901"/>
      <c r="DW166" s="901"/>
      <c r="DX166" s="901"/>
      <c r="DY166" s="901"/>
      <c r="DZ166" s="901"/>
      <c r="EA166" s="901"/>
      <c r="EB166" s="901"/>
      <c r="EC166" s="901"/>
      <c r="ED166" s="901"/>
      <c r="EE166" s="901"/>
      <c r="EF166" s="901"/>
      <c r="EG166" s="901"/>
      <c r="EH166" s="901"/>
      <c r="EI166" s="901"/>
      <c r="EJ166" s="901"/>
      <c r="EK166" s="901"/>
      <c r="EL166" s="901"/>
      <c r="EM166" s="901"/>
      <c r="EN166" s="901"/>
      <c r="EO166" s="901"/>
      <c r="EP166" s="901"/>
      <c r="EQ166" s="901"/>
      <c r="ER166" s="901"/>
      <c r="ES166" s="901"/>
      <c r="ET166" s="901"/>
      <c r="EU166" s="901"/>
      <c r="EV166" s="901"/>
      <c r="EW166" s="901"/>
      <c r="EX166" s="901"/>
      <c r="EY166" s="901"/>
      <c r="EZ166" s="901"/>
      <c r="FA166" s="901"/>
      <c r="FB166" s="901"/>
      <c r="FC166" s="901"/>
      <c r="FD166" s="901"/>
      <c r="FE166" s="901"/>
      <c r="FF166" s="901"/>
      <c r="FG166" s="901"/>
      <c r="FH166" s="901"/>
      <c r="FI166" s="901"/>
      <c r="FJ166" s="901"/>
      <c r="FK166" s="901"/>
      <c r="FL166" s="901"/>
      <c r="FM166" s="901"/>
      <c r="FN166" s="901"/>
      <c r="FO166" s="901"/>
      <c r="FP166" s="901"/>
      <c r="FQ166" s="901"/>
      <c r="FR166" s="901"/>
      <c r="FS166" s="901"/>
      <c r="FT166" s="901"/>
      <c r="FU166" s="901"/>
      <c r="FV166" s="901"/>
      <c r="FW166" s="901"/>
      <c r="FX166" s="901"/>
      <c r="FY166" s="901"/>
      <c r="FZ166" s="901"/>
      <c r="GA166" s="901"/>
      <c r="GB166" s="901"/>
      <c r="GC166" s="901"/>
      <c r="GD166" s="901"/>
      <c r="GE166" s="901"/>
      <c r="GF166" s="901"/>
      <c r="GG166" s="901"/>
      <c r="GH166" s="901"/>
      <c r="GI166" s="901"/>
      <c r="GJ166" s="901"/>
      <c r="GK166" s="901"/>
      <c r="GL166" s="901"/>
      <c r="GM166" s="901"/>
      <c r="GN166" s="901"/>
      <c r="GO166" s="901"/>
      <c r="GP166" s="901"/>
      <c r="GQ166" s="901"/>
      <c r="GR166" s="901"/>
      <c r="GS166" s="901"/>
      <c r="GT166" s="901"/>
      <c r="GU166" s="901"/>
      <c r="GV166" s="901"/>
      <c r="GW166" s="901"/>
      <c r="GX166" s="901"/>
      <c r="GY166" s="901"/>
      <c r="GZ166" s="901"/>
      <c r="HA166" s="901"/>
      <c r="HB166" s="901"/>
      <c r="HC166" s="901"/>
      <c r="HD166" s="901"/>
      <c r="HE166" s="901"/>
      <c r="HF166" s="901"/>
      <c r="HG166" s="901"/>
      <c r="HH166" s="901"/>
      <c r="HI166" s="901"/>
      <c r="HJ166" s="901"/>
      <c r="HK166" s="901"/>
      <c r="HL166" s="901"/>
      <c r="HM166" s="901"/>
      <c r="HN166" s="901"/>
      <c r="HO166" s="901"/>
      <c r="HP166" s="901"/>
      <c r="HQ166" s="901"/>
      <c r="HR166" s="901"/>
      <c r="HS166" s="901"/>
      <c r="HT166" s="901"/>
      <c r="HU166" s="901"/>
      <c r="HV166" s="901"/>
      <c r="HW166" s="901"/>
      <c r="HX166" s="901"/>
      <c r="HY166" s="901"/>
      <c r="HZ166" s="901"/>
      <c r="IA166" s="901"/>
      <c r="IB166" s="901"/>
      <c r="IC166" s="901"/>
      <c r="ID166" s="901"/>
      <c r="IE166" s="901"/>
      <c r="IF166" s="901"/>
      <c r="IG166" s="901"/>
      <c r="IH166" s="901"/>
      <c r="II166" s="901"/>
      <c r="IJ166" s="901"/>
      <c r="IK166" s="901"/>
      <c r="IL166" s="901"/>
      <c r="IM166" s="901"/>
      <c r="IN166" s="901"/>
      <c r="IO166" s="901"/>
      <c r="IP166" s="901"/>
      <c r="IQ166" s="901"/>
      <c r="IR166" s="901"/>
      <c r="IS166" s="901"/>
      <c r="IT166" s="901"/>
      <c r="IU166" s="901"/>
      <c r="IV166" s="901"/>
      <c r="IW166" s="901"/>
      <c r="IX166" s="901"/>
      <c r="IY166" s="901"/>
      <c r="IZ166" s="901"/>
      <c r="JA166" s="901"/>
      <c r="JB166" s="901"/>
      <c r="JC166" s="901"/>
      <c r="JD166" s="901"/>
      <c r="JE166" s="901"/>
      <c r="JF166" s="901"/>
      <c r="JG166" s="901"/>
      <c r="JH166" s="901"/>
      <c r="JI166" s="901"/>
      <c r="JJ166" s="901"/>
      <c r="JK166" s="901"/>
      <c r="JL166" s="901"/>
      <c r="JM166" s="901"/>
      <c r="JN166" s="901"/>
      <c r="JO166" s="901"/>
      <c r="JP166" s="901"/>
      <c r="JQ166" s="901"/>
      <c r="JR166" s="901"/>
      <c r="JS166" s="901"/>
      <c r="JT166" s="901"/>
      <c r="JU166" s="901"/>
      <c r="JV166" s="901"/>
      <c r="JW166" s="901"/>
      <c r="JX166" s="901"/>
      <c r="JY166" s="901"/>
      <c r="JZ166" s="901"/>
      <c r="KA166" s="901"/>
      <c r="KB166" s="901"/>
      <c r="KC166" s="901"/>
      <c r="KD166" s="901"/>
      <c r="KE166" s="901"/>
      <c r="KF166" s="901"/>
      <c r="KG166" s="901"/>
      <c r="KH166" s="901"/>
      <c r="KI166" s="901"/>
      <c r="KJ166" s="901"/>
      <c r="KK166" s="901"/>
      <c r="KL166" s="901"/>
      <c r="KM166" s="901"/>
      <c r="KN166" s="901"/>
      <c r="KO166" s="901"/>
      <c r="KP166" s="901"/>
      <c r="KQ166" s="901"/>
      <c r="KR166" s="901"/>
      <c r="KS166" s="901"/>
      <c r="KT166" s="901"/>
      <c r="KU166" s="901"/>
      <c r="KV166" s="901"/>
      <c r="KW166" s="901"/>
      <c r="KX166" s="901"/>
      <c r="KY166" s="901"/>
      <c r="KZ166" s="901"/>
      <c r="LA166" s="901"/>
      <c r="LB166" s="901"/>
      <c r="LC166" s="901"/>
      <c r="LD166" s="901"/>
      <c r="LE166" s="901"/>
      <c r="LF166" s="901"/>
      <c r="LG166" s="901"/>
      <c r="LH166" s="901"/>
      <c r="LI166" s="901"/>
      <c r="LJ166" s="901"/>
      <c r="LK166" s="901"/>
      <c r="LL166" s="901"/>
      <c r="LM166" s="901"/>
      <c r="LN166" s="901"/>
      <c r="LO166" s="901"/>
      <c r="LP166" s="901"/>
      <c r="LQ166" s="901"/>
      <c r="LR166" s="901"/>
      <c r="LS166" s="901"/>
      <c r="LT166" s="901"/>
      <c r="LU166" s="901"/>
      <c r="LV166" s="901"/>
      <c r="LW166" s="901"/>
      <c r="LX166" s="901"/>
      <c r="LY166" s="901"/>
      <c r="LZ166" s="901"/>
      <c r="MA166" s="901"/>
      <c r="MB166" s="901"/>
      <c r="MC166" s="901"/>
      <c r="MD166" s="901"/>
      <c r="ME166" s="901"/>
      <c r="MF166" s="901"/>
      <c r="MG166" s="901"/>
      <c r="MH166" s="901"/>
      <c r="MI166" s="901"/>
      <c r="MJ166" s="901"/>
      <c r="MK166" s="901"/>
      <c r="ML166" s="901"/>
      <c r="MM166" s="901"/>
      <c r="MN166" s="901"/>
      <c r="MO166" s="901"/>
      <c r="MP166" s="901"/>
      <c r="MQ166" s="901"/>
      <c r="MR166" s="901"/>
      <c r="MS166" s="901"/>
      <c r="MT166" s="901"/>
      <c r="MU166" s="901"/>
      <c r="MV166" s="901"/>
      <c r="MW166" s="901"/>
      <c r="MX166" s="901"/>
      <c r="MY166" s="901"/>
      <c r="MZ166" s="901"/>
      <c r="NA166" s="901"/>
      <c r="NB166" s="901"/>
      <c r="NC166" s="901"/>
      <c r="ND166" s="901"/>
      <c r="NE166" s="901"/>
      <c r="NF166" s="901"/>
      <c r="NG166" s="901"/>
      <c r="NH166" s="901"/>
      <c r="NI166" s="901"/>
      <c r="NJ166" s="901"/>
      <c r="NK166" s="901"/>
      <c r="NL166" s="901"/>
      <c r="NM166" s="901"/>
      <c r="NN166" s="901"/>
      <c r="NO166" s="901"/>
      <c r="NP166" s="901"/>
      <c r="NQ166" s="901"/>
      <c r="NR166" s="901"/>
      <c r="NS166" s="901"/>
      <c r="NT166" s="901"/>
      <c r="NU166" s="901"/>
      <c r="NV166" s="901"/>
      <c r="NW166" s="901"/>
      <c r="NX166" s="901"/>
      <c r="NY166" s="901"/>
      <c r="NZ166" s="901"/>
      <c r="OA166" s="901"/>
      <c r="OB166" s="901"/>
      <c r="OC166" s="901"/>
      <c r="OD166" s="901"/>
      <c r="OE166" s="901"/>
      <c r="OF166" s="901"/>
      <c r="OG166" s="901"/>
      <c r="OH166" s="901"/>
      <c r="OI166" s="901"/>
      <c r="OJ166" s="901"/>
      <c r="OK166" s="901"/>
      <c r="OL166" s="901"/>
      <c r="OM166" s="901"/>
      <c r="ON166" s="901"/>
      <c r="OO166" s="901"/>
      <c r="OP166" s="901"/>
      <c r="OQ166" s="901"/>
      <c r="OR166" s="901"/>
      <c r="OS166" s="901"/>
      <c r="OT166" s="901"/>
      <c r="OU166" s="901"/>
      <c r="OV166" s="901"/>
      <c r="OW166" s="901"/>
      <c r="OX166" s="901"/>
      <c r="OY166" s="901"/>
      <c r="OZ166" s="901"/>
      <c r="PA166" s="901"/>
      <c r="PB166" s="901"/>
      <c r="PC166" s="901"/>
      <c r="PD166" s="901"/>
      <c r="PE166" s="901"/>
      <c r="PF166" s="901"/>
      <c r="PG166" s="901"/>
      <c r="PH166" s="901"/>
      <c r="PI166" s="901"/>
      <c r="PJ166" s="901"/>
      <c r="PK166" s="901"/>
      <c r="PL166" s="901"/>
      <c r="PM166" s="901"/>
      <c r="PN166" s="901"/>
      <c r="PO166" s="901"/>
      <c r="PP166" s="901"/>
      <c r="PQ166" s="901"/>
      <c r="PR166" s="901"/>
      <c r="PS166" s="901"/>
      <c r="PT166" s="901"/>
      <c r="PU166" s="901"/>
      <c r="PV166" s="901"/>
      <c r="PW166" s="901"/>
      <c r="PX166" s="901"/>
      <c r="PY166" s="901"/>
      <c r="PZ166" s="901"/>
      <c r="QA166" s="901"/>
      <c r="QB166" s="901"/>
      <c r="QC166" s="901"/>
      <c r="QD166" s="901"/>
      <c r="QE166" s="901"/>
      <c r="QF166" s="901"/>
      <c r="QG166" s="901"/>
      <c r="QH166" s="901"/>
      <c r="QI166" s="901"/>
      <c r="QJ166" s="901"/>
      <c r="QK166" s="901"/>
      <c r="QL166" s="901"/>
      <c r="QM166" s="901"/>
      <c r="QN166" s="901"/>
      <c r="QO166" s="901"/>
      <c r="QP166" s="901"/>
      <c r="QQ166" s="901"/>
      <c r="QR166" s="901"/>
      <c r="QS166" s="901"/>
      <c r="QT166" s="901"/>
      <c r="QU166" s="901"/>
      <c r="QV166" s="901"/>
      <c r="QW166" s="901"/>
      <c r="QX166" s="901"/>
      <c r="QY166" s="901"/>
      <c r="QZ166" s="901"/>
      <c r="RA166" s="901"/>
      <c r="RB166" s="901"/>
      <c r="RC166" s="901"/>
      <c r="RD166" s="901"/>
      <c r="RE166" s="901"/>
      <c r="RF166" s="901"/>
      <c r="RG166" s="901"/>
      <c r="RH166" s="901"/>
      <c r="RI166" s="901"/>
      <c r="RJ166" s="901"/>
      <c r="RK166" s="901"/>
      <c r="RL166" s="901"/>
      <c r="RM166" s="901"/>
      <c r="RN166" s="901"/>
      <c r="RO166" s="901"/>
      <c r="RP166" s="901"/>
      <c r="RQ166" s="901"/>
      <c r="RR166" s="901"/>
      <c r="RS166" s="901"/>
      <c r="RT166" s="901"/>
      <c r="RU166" s="901"/>
      <c r="RV166" s="901"/>
      <c r="RW166" s="901"/>
      <c r="RX166" s="901"/>
      <c r="RY166" s="901"/>
      <c r="RZ166" s="901"/>
      <c r="SA166" s="901"/>
      <c r="SB166" s="901"/>
      <c r="SC166" s="901"/>
      <c r="SD166" s="901"/>
      <c r="SE166" s="901"/>
      <c r="SF166" s="901"/>
      <c r="SG166" s="901"/>
      <c r="SH166" s="901"/>
      <c r="SI166" s="901"/>
      <c r="SJ166" s="901"/>
      <c r="SK166" s="901"/>
      <c r="SL166" s="901"/>
      <c r="SM166" s="901"/>
      <c r="SN166" s="901"/>
      <c r="SO166" s="901"/>
      <c r="SP166" s="901"/>
      <c r="SQ166" s="901"/>
      <c r="SR166" s="901"/>
      <c r="SS166" s="901"/>
      <c r="ST166" s="901"/>
      <c r="SU166" s="901"/>
      <c r="SV166" s="901"/>
      <c r="SW166" s="901"/>
      <c r="SX166" s="901"/>
      <c r="SY166" s="901"/>
      <c r="SZ166" s="901"/>
      <c r="TA166" s="901"/>
      <c r="TB166" s="901"/>
      <c r="TC166" s="901"/>
      <c r="TD166" s="901"/>
      <c r="TE166" s="901"/>
      <c r="TF166" s="901"/>
      <c r="TG166" s="901"/>
      <c r="TH166" s="901"/>
      <c r="TI166" s="901"/>
      <c r="TJ166" s="901"/>
      <c r="TK166" s="901"/>
      <c r="TL166" s="901"/>
      <c r="TM166" s="901"/>
      <c r="TN166" s="901"/>
      <c r="TO166" s="901"/>
      <c r="TP166" s="901"/>
      <c r="TQ166" s="901"/>
      <c r="TR166" s="901"/>
      <c r="TS166" s="901"/>
      <c r="TT166" s="901"/>
      <c r="TU166" s="901"/>
      <c r="TV166" s="901"/>
      <c r="TW166" s="901"/>
      <c r="TX166" s="901"/>
      <c r="TY166" s="901"/>
      <c r="TZ166" s="901"/>
      <c r="UA166" s="901"/>
      <c r="UB166" s="901"/>
      <c r="UC166" s="901"/>
      <c r="UD166" s="901"/>
      <c r="UE166" s="901"/>
      <c r="UF166" s="901"/>
      <c r="UG166" s="901"/>
      <c r="UH166" s="901"/>
      <c r="UI166" s="901"/>
      <c r="UJ166" s="901"/>
      <c r="UK166" s="901"/>
      <c r="UL166" s="901"/>
      <c r="UM166" s="901"/>
      <c r="UN166" s="901"/>
      <c r="UO166" s="901"/>
      <c r="UP166" s="901"/>
      <c r="UQ166" s="901"/>
      <c r="UR166" s="901"/>
      <c r="US166" s="901"/>
      <c r="UT166" s="901"/>
      <c r="UU166" s="901"/>
      <c r="UV166" s="901"/>
      <c r="UW166" s="901"/>
      <c r="UX166" s="901"/>
      <c r="UY166" s="901"/>
      <c r="UZ166" s="901"/>
      <c r="VA166" s="901"/>
      <c r="VB166" s="901"/>
      <c r="VC166" s="901"/>
      <c r="VD166" s="901"/>
      <c r="VE166" s="901"/>
      <c r="VF166" s="901"/>
      <c r="VG166" s="901"/>
      <c r="VH166" s="901"/>
      <c r="VI166" s="901"/>
      <c r="VJ166" s="901"/>
      <c r="VK166" s="901"/>
      <c r="VL166" s="901"/>
      <c r="VM166" s="901"/>
      <c r="VN166" s="901"/>
      <c r="VO166" s="901"/>
      <c r="VP166" s="901"/>
      <c r="VQ166" s="901"/>
      <c r="VR166" s="901"/>
      <c r="VS166" s="901"/>
      <c r="VT166" s="901"/>
      <c r="VU166" s="901"/>
      <c r="VV166" s="901"/>
      <c r="VW166" s="901"/>
      <c r="VX166" s="901"/>
      <c r="VY166" s="901"/>
      <c r="VZ166" s="901"/>
      <c r="WA166" s="901"/>
      <c r="WB166" s="901"/>
      <c r="WC166" s="901"/>
      <c r="WD166" s="901"/>
      <c r="WE166" s="901"/>
      <c r="WF166" s="901"/>
      <c r="WG166" s="901"/>
      <c r="WH166" s="901"/>
      <c r="WI166" s="901"/>
      <c r="WJ166" s="901"/>
      <c r="WK166" s="901"/>
      <c r="WL166" s="901"/>
      <c r="WM166" s="901"/>
      <c r="WN166" s="901"/>
      <c r="WO166" s="901"/>
      <c r="WP166" s="901"/>
      <c r="WQ166" s="901"/>
      <c r="WR166" s="901"/>
      <c r="WS166" s="901"/>
      <c r="WT166" s="901"/>
      <c r="WU166" s="901"/>
      <c r="WV166" s="901"/>
      <c r="WW166" s="901"/>
      <c r="WX166" s="901"/>
      <c r="WY166" s="901"/>
      <c r="WZ166" s="901"/>
      <c r="XA166" s="901"/>
      <c r="XB166" s="901"/>
      <c r="XC166" s="901"/>
      <c r="XD166" s="901"/>
      <c r="XE166" s="901"/>
      <c r="XF166" s="901"/>
      <c r="XG166" s="901"/>
      <c r="XH166" s="901"/>
      <c r="XI166" s="901"/>
      <c r="XJ166" s="901"/>
      <c r="XK166" s="901"/>
      <c r="XL166" s="901"/>
      <c r="XM166" s="901"/>
      <c r="XN166" s="901"/>
      <c r="XO166" s="901"/>
      <c r="XP166" s="901"/>
      <c r="XQ166" s="901"/>
      <c r="XR166" s="901"/>
      <c r="XS166" s="901"/>
      <c r="XT166" s="901"/>
      <c r="XU166" s="901"/>
      <c r="XV166" s="901"/>
      <c r="XW166" s="901"/>
      <c r="XX166" s="901"/>
      <c r="XY166" s="901"/>
      <c r="XZ166" s="901"/>
      <c r="YA166" s="901"/>
      <c r="YB166" s="901"/>
      <c r="YC166" s="901"/>
      <c r="YD166" s="901"/>
      <c r="YE166" s="901"/>
      <c r="YF166" s="901"/>
      <c r="YG166" s="901"/>
      <c r="YH166" s="901"/>
      <c r="YI166" s="901"/>
      <c r="YJ166" s="901"/>
      <c r="YK166" s="901"/>
      <c r="YL166" s="901"/>
      <c r="YM166" s="901"/>
      <c r="YN166" s="901"/>
      <c r="YO166" s="901"/>
      <c r="YP166" s="901"/>
      <c r="YQ166" s="901"/>
      <c r="YR166" s="901"/>
      <c r="YS166" s="901"/>
      <c r="YT166" s="901"/>
      <c r="YU166" s="901"/>
      <c r="YV166" s="901"/>
      <c r="YW166" s="901"/>
      <c r="YX166" s="901"/>
      <c r="YY166" s="901"/>
      <c r="YZ166" s="901"/>
      <c r="ZA166" s="901"/>
      <c r="ZB166" s="901"/>
      <c r="ZC166" s="901"/>
      <c r="ZD166" s="901"/>
      <c r="ZE166" s="901"/>
      <c r="ZF166" s="901"/>
      <c r="ZG166" s="901"/>
      <c r="ZH166" s="901"/>
      <c r="ZI166" s="901"/>
      <c r="ZJ166" s="901"/>
      <c r="ZK166" s="901"/>
      <c r="ZL166" s="901"/>
      <c r="ZM166" s="901"/>
      <c r="ZN166" s="901"/>
      <c r="ZO166" s="901"/>
      <c r="ZP166" s="901"/>
      <c r="ZQ166" s="901"/>
      <c r="ZR166" s="901"/>
      <c r="ZS166" s="901"/>
      <c r="ZT166" s="901"/>
      <c r="ZU166" s="901"/>
      <c r="ZV166" s="901"/>
      <c r="ZW166" s="901"/>
      <c r="ZX166" s="901"/>
      <c r="ZY166" s="901"/>
      <c r="ZZ166" s="901"/>
      <c r="AAA166" s="901"/>
      <c r="AAB166" s="901"/>
      <c r="AAC166" s="901"/>
      <c r="AAD166" s="901"/>
      <c r="AAE166" s="901"/>
      <c r="AAF166" s="901"/>
      <c r="AAG166" s="901"/>
      <c r="AAH166" s="901"/>
      <c r="AAI166" s="901"/>
      <c r="AAJ166" s="901"/>
      <c r="AAK166" s="901"/>
      <c r="AAL166" s="901"/>
      <c r="AAM166" s="901"/>
      <c r="AAN166" s="901"/>
      <c r="AAO166" s="901"/>
      <c r="AAP166" s="901"/>
      <c r="AAQ166" s="901"/>
      <c r="AAR166" s="901"/>
      <c r="AAS166" s="901"/>
      <c r="AAT166" s="901"/>
      <c r="AAU166" s="901"/>
      <c r="AAV166" s="901"/>
      <c r="AAW166" s="901"/>
      <c r="AAX166" s="901"/>
      <c r="AAY166" s="901"/>
      <c r="AAZ166" s="901"/>
      <c r="ABA166" s="901"/>
      <c r="ABB166" s="901"/>
      <c r="ABC166" s="901"/>
      <c r="ABD166" s="901"/>
      <c r="ABE166" s="901"/>
      <c r="ABF166" s="901"/>
      <c r="ABG166" s="901"/>
      <c r="ABH166" s="901"/>
      <c r="ABI166" s="901"/>
      <c r="ABJ166" s="901"/>
      <c r="ABK166" s="901"/>
      <c r="ABL166" s="901"/>
      <c r="ABM166" s="901"/>
      <c r="ABN166" s="901"/>
      <c r="ABO166" s="901"/>
      <c r="ABP166" s="901"/>
      <c r="ABQ166" s="901"/>
      <c r="ABR166" s="901"/>
      <c r="ABS166" s="901"/>
      <c r="ABT166" s="901"/>
      <c r="ABU166" s="901"/>
      <c r="ABV166" s="901"/>
      <c r="ABW166" s="901"/>
      <c r="ABX166" s="901"/>
      <c r="ABY166" s="901"/>
      <c r="ABZ166" s="901"/>
      <c r="ACA166" s="901"/>
      <c r="ACB166" s="901"/>
      <c r="ACC166" s="901"/>
      <c r="ACD166" s="901"/>
      <c r="ACE166" s="901"/>
      <c r="ACF166" s="901"/>
      <c r="ACG166" s="901"/>
      <c r="ACH166" s="901"/>
      <c r="ACI166" s="901"/>
      <c r="ACJ166" s="901"/>
      <c r="ACK166" s="901"/>
      <c r="ACL166" s="901"/>
      <c r="ACM166" s="901"/>
      <c r="ACN166" s="901"/>
      <c r="ACO166" s="901"/>
      <c r="ACP166" s="901"/>
      <c r="ACQ166" s="901"/>
      <c r="ACR166" s="901"/>
      <c r="ACS166" s="901"/>
      <c r="ACT166" s="901"/>
      <c r="ACU166" s="901"/>
      <c r="ACV166" s="901"/>
      <c r="ACW166" s="901"/>
      <c r="ACX166" s="901"/>
      <c r="ACY166" s="901"/>
      <c r="ACZ166" s="901"/>
      <c r="ADA166" s="901"/>
      <c r="ADB166" s="901"/>
      <c r="ADC166" s="901"/>
      <c r="ADD166" s="901"/>
      <c r="ADE166" s="901"/>
      <c r="ADF166" s="901"/>
      <c r="ADG166" s="901"/>
      <c r="ADH166" s="901"/>
      <c r="ADI166" s="901"/>
      <c r="ADJ166" s="901"/>
      <c r="ADK166" s="901"/>
      <c r="ADL166" s="901"/>
      <c r="ADM166" s="901"/>
      <c r="ADN166" s="901"/>
      <c r="ADO166" s="901"/>
      <c r="ADP166" s="901"/>
      <c r="ADQ166" s="901"/>
      <c r="ADR166" s="901"/>
      <c r="ADS166" s="901"/>
      <c r="ADT166" s="901"/>
      <c r="ADU166" s="901"/>
      <c r="ADV166" s="901"/>
      <c r="ADW166" s="901"/>
      <c r="ADX166" s="901"/>
      <c r="ADY166" s="901"/>
      <c r="ADZ166" s="901"/>
      <c r="AEA166" s="901"/>
      <c r="AEB166" s="901"/>
      <c r="AEC166" s="901"/>
      <c r="AED166" s="901"/>
      <c r="AEE166" s="901"/>
      <c r="AEF166" s="901"/>
      <c r="AEG166" s="901"/>
      <c r="AEH166" s="901"/>
      <c r="AEI166" s="901"/>
      <c r="AEJ166" s="901"/>
      <c r="AEK166" s="901"/>
      <c r="AEL166" s="901"/>
      <c r="AEM166" s="901"/>
      <c r="AEN166" s="901"/>
      <c r="AEO166" s="901"/>
      <c r="AEP166" s="901"/>
      <c r="AEQ166" s="901"/>
      <c r="AER166" s="901"/>
      <c r="AES166" s="901"/>
      <c r="AET166" s="901"/>
      <c r="AEU166" s="901"/>
      <c r="AEV166" s="901"/>
      <c r="AEW166" s="901"/>
      <c r="AEX166" s="901"/>
      <c r="AEY166" s="901"/>
      <c r="AEZ166" s="901"/>
      <c r="AFA166" s="901"/>
      <c r="AFB166" s="901"/>
      <c r="AFC166" s="901"/>
      <c r="AFD166" s="901"/>
      <c r="AFE166" s="901"/>
      <c r="AFF166" s="901"/>
      <c r="AFG166" s="901"/>
      <c r="AFH166" s="901"/>
      <c r="AFI166" s="901"/>
      <c r="AFJ166" s="901"/>
      <c r="AFK166" s="901"/>
      <c r="AFL166" s="901"/>
      <c r="AFM166" s="901"/>
      <c r="AFN166" s="901"/>
      <c r="AFO166" s="901"/>
      <c r="AFP166" s="901"/>
      <c r="AFQ166" s="901"/>
      <c r="AFR166" s="901"/>
      <c r="AFS166" s="901"/>
      <c r="AFT166" s="901"/>
      <c r="AFU166" s="901"/>
      <c r="AFV166" s="901"/>
      <c r="AFW166" s="901"/>
      <c r="AFX166" s="901"/>
      <c r="AFY166" s="901"/>
      <c r="AFZ166" s="901"/>
      <c r="AGA166" s="901"/>
      <c r="AGB166" s="901"/>
      <c r="AGC166" s="901"/>
      <c r="AGD166" s="901"/>
      <c r="AGE166" s="901"/>
      <c r="AGF166" s="901"/>
      <c r="AGG166" s="901"/>
      <c r="AGH166" s="901"/>
      <c r="AGI166" s="901"/>
      <c r="AGJ166" s="901"/>
      <c r="AGK166" s="901"/>
      <c r="AGL166" s="901"/>
      <c r="AGM166" s="901"/>
      <c r="AGN166" s="901"/>
      <c r="AGO166" s="901"/>
      <c r="AGP166" s="901"/>
      <c r="AGQ166" s="901"/>
      <c r="AGR166" s="901"/>
      <c r="AGS166" s="901"/>
      <c r="AGT166" s="901"/>
      <c r="AGU166" s="901"/>
      <c r="AGV166" s="901"/>
      <c r="AGW166" s="901"/>
      <c r="AGX166" s="901"/>
      <c r="AGY166" s="901"/>
      <c r="AGZ166" s="901"/>
      <c r="AHA166" s="901"/>
      <c r="AHB166" s="901"/>
      <c r="AHC166" s="901"/>
      <c r="AHD166" s="901"/>
      <c r="AHE166" s="901"/>
      <c r="AHF166" s="901"/>
      <c r="AHG166" s="901"/>
      <c r="AHH166" s="901"/>
      <c r="AHI166" s="901"/>
      <c r="AHJ166" s="901"/>
      <c r="AHK166" s="901"/>
      <c r="AHL166" s="901"/>
      <c r="AHM166" s="901"/>
      <c r="AHN166" s="901"/>
      <c r="AHO166" s="901"/>
      <c r="AHP166" s="901"/>
      <c r="AHQ166" s="901"/>
      <c r="AHR166" s="901"/>
      <c r="AHS166" s="901"/>
      <c r="AHT166" s="901"/>
      <c r="AHU166" s="901"/>
      <c r="AHV166" s="901"/>
      <c r="AHW166" s="901"/>
      <c r="AHX166" s="901"/>
      <c r="AHY166" s="901"/>
      <c r="AHZ166" s="901"/>
      <c r="AIA166" s="901"/>
      <c r="AIB166" s="901"/>
      <c r="AIC166" s="901"/>
      <c r="AID166" s="901"/>
      <c r="AIE166" s="901"/>
      <c r="AIF166" s="901"/>
      <c r="AIG166" s="901"/>
      <c r="AIH166" s="901"/>
      <c r="AII166" s="901"/>
      <c r="AIJ166" s="901"/>
      <c r="AIK166" s="901"/>
      <c r="AIL166" s="901"/>
      <c r="AIM166" s="901"/>
      <c r="AIN166" s="901"/>
      <c r="AIO166" s="901"/>
      <c r="AIP166" s="901"/>
      <c r="AIQ166" s="901"/>
      <c r="AIR166" s="901"/>
      <c r="AIS166" s="901"/>
      <c r="AIT166" s="901"/>
      <c r="AIU166" s="901"/>
      <c r="AIV166" s="901"/>
      <c r="AIW166" s="901"/>
      <c r="AIX166" s="901"/>
      <c r="AIY166" s="901"/>
      <c r="AIZ166" s="901"/>
      <c r="AJA166" s="901"/>
      <c r="AJB166" s="901"/>
      <c r="AJC166" s="901"/>
      <c r="AJD166" s="901"/>
      <c r="AJE166" s="901"/>
      <c r="AJF166" s="901"/>
      <c r="AJG166" s="901"/>
      <c r="AJH166" s="901"/>
      <c r="AJI166" s="901"/>
      <c r="AJJ166" s="901"/>
      <c r="AJK166" s="901"/>
      <c r="AJL166" s="901"/>
      <c r="AJM166" s="901"/>
      <c r="AJN166" s="901"/>
      <c r="AJO166" s="901"/>
      <c r="AJP166" s="901"/>
      <c r="AJQ166" s="901"/>
      <c r="AJR166" s="901"/>
      <c r="AJS166" s="901"/>
      <c r="AJT166" s="901"/>
      <c r="AJU166" s="901"/>
      <c r="AJV166" s="901"/>
      <c r="AJW166" s="901"/>
      <c r="AJX166" s="901"/>
      <c r="AJY166" s="901"/>
      <c r="AJZ166" s="901"/>
      <c r="AKA166" s="901"/>
      <c r="AKB166" s="901"/>
      <c r="AKC166" s="901"/>
      <c r="AKD166" s="901"/>
      <c r="AKE166" s="901"/>
      <c r="AKF166" s="901"/>
      <c r="AKG166" s="901"/>
      <c r="AKH166" s="901"/>
      <c r="AKI166" s="901"/>
      <c r="AKJ166" s="901"/>
      <c r="AKK166" s="901"/>
      <c r="AKL166" s="901"/>
      <c r="AKM166" s="901"/>
      <c r="AKN166" s="901"/>
      <c r="AKO166" s="901"/>
      <c r="AKP166" s="901"/>
      <c r="AKQ166" s="901"/>
      <c r="AKR166" s="901"/>
      <c r="AKS166" s="901"/>
      <c r="AKT166" s="901"/>
      <c r="AKU166" s="901"/>
      <c r="AKV166" s="901"/>
      <c r="AKW166" s="901"/>
      <c r="AKX166" s="901"/>
      <c r="AKY166" s="901"/>
      <c r="AKZ166" s="901"/>
      <c r="ALA166" s="901"/>
      <c r="ALB166" s="901"/>
      <c r="ALC166" s="901"/>
      <c r="ALD166" s="901"/>
      <c r="ALE166" s="901"/>
      <c r="ALF166" s="901"/>
      <c r="ALG166" s="901"/>
      <c r="ALH166" s="901"/>
      <c r="ALI166" s="901"/>
      <c r="ALJ166" s="901"/>
      <c r="ALK166" s="901"/>
      <c r="ALL166" s="901"/>
      <c r="ALM166" s="901"/>
      <c r="ALN166" s="901"/>
      <c r="ALO166" s="901"/>
      <c r="ALP166" s="901"/>
      <c r="ALQ166" s="901"/>
      <c r="ALR166" s="901"/>
      <c r="ALS166" s="901"/>
      <c r="ALT166" s="901"/>
      <c r="ALU166" s="901"/>
      <c r="ALV166" s="901"/>
      <c r="ALW166" s="901"/>
      <c r="ALX166" s="901"/>
      <c r="ALY166" s="901"/>
      <c r="ALZ166" s="901"/>
      <c r="AMA166" s="901"/>
      <c r="AMB166" s="901"/>
      <c r="AMC166" s="901"/>
      <c r="AMD166" s="901"/>
      <c r="AME166" s="901"/>
      <c r="AMF166" s="901"/>
      <c r="AMG166" s="901"/>
      <c r="AMH166" s="901"/>
      <c r="AMI166" s="901"/>
      <c r="AMJ166" s="901"/>
      <c r="AMK166" s="901"/>
      <c r="AML166" s="901"/>
    </row>
    <row r="167" spans="1:1026" s="902" customFormat="1">
      <c r="A167" s="882">
        <v>5</v>
      </c>
      <c r="B167" s="883" t="s">
        <v>16</v>
      </c>
      <c r="C167" s="883">
        <v>1</v>
      </c>
      <c r="D167" s="883" t="s">
        <v>16</v>
      </c>
      <c r="E167" s="884" t="s">
        <v>88</v>
      </c>
      <c r="F167" s="883" t="s">
        <v>16</v>
      </c>
      <c r="G167" s="885" t="s">
        <v>194</v>
      </c>
      <c r="H167" s="886" t="s">
        <v>504</v>
      </c>
      <c r="I167" s="985"/>
      <c r="J167" s="986"/>
      <c r="K167" s="985"/>
      <c r="L167" s="986"/>
      <c r="M167" s="1005"/>
      <c r="N167" s="1005"/>
      <c r="O167" s="987">
        <v>2000</v>
      </c>
      <c r="P167" s="988">
        <v>504</v>
      </c>
      <c r="Q167" s="989">
        <v>2000</v>
      </c>
      <c r="R167" s="988">
        <v>720</v>
      </c>
      <c r="S167" s="990">
        <v>2000</v>
      </c>
      <c r="T167" s="990">
        <v>2000</v>
      </c>
      <c r="U167" s="990">
        <v>-504</v>
      </c>
      <c r="V167" s="990">
        <v>2000</v>
      </c>
      <c r="W167" s="991">
        <v>-648</v>
      </c>
      <c r="X167" s="1006">
        <v>0</v>
      </c>
      <c r="Y167" s="934">
        <v>-360</v>
      </c>
      <c r="Z167" s="935">
        <v>500</v>
      </c>
      <c r="AA167" s="936">
        <v>-10179.120000000001</v>
      </c>
      <c r="AB167" s="935">
        <v>1000</v>
      </c>
      <c r="AC167" s="936">
        <v>-10179.120000000001</v>
      </c>
      <c r="AD167" s="935">
        <v>0</v>
      </c>
      <c r="AE167" s="936"/>
      <c r="AF167" s="935">
        <v>0</v>
      </c>
      <c r="AG167" s="937"/>
      <c r="AH167" s="935">
        <v>5000</v>
      </c>
      <c r="AI167" s="935">
        <v>20000</v>
      </c>
      <c r="AJ167" s="935">
        <v>20000</v>
      </c>
      <c r="AK167" s="912" t="s">
        <v>501</v>
      </c>
      <c r="AL167" s="942"/>
      <c r="AM167" s="900"/>
      <c r="AN167" s="900"/>
      <c r="AO167" s="943"/>
      <c r="AP167" s="943"/>
      <c r="AQ167" s="943"/>
      <c r="AR167" s="943"/>
      <c r="AS167" s="943"/>
      <c r="AT167" s="943"/>
      <c r="AU167" s="943"/>
      <c r="AV167" s="943"/>
      <c r="AW167" s="943"/>
      <c r="AX167" s="901"/>
      <c r="AY167" s="901"/>
      <c r="AZ167" s="901"/>
      <c r="BA167" s="901"/>
      <c r="BB167" s="901"/>
      <c r="BC167" s="901"/>
      <c r="BD167" s="901"/>
      <c r="BE167" s="901"/>
      <c r="BF167" s="901"/>
      <c r="BG167" s="901"/>
      <c r="BH167" s="901"/>
      <c r="BI167" s="901"/>
      <c r="BJ167" s="901"/>
      <c r="BK167" s="901"/>
      <c r="BL167" s="901"/>
      <c r="BM167" s="901"/>
      <c r="BN167" s="901"/>
      <c r="BO167" s="901"/>
      <c r="BP167" s="901"/>
      <c r="BQ167" s="901"/>
      <c r="BR167" s="901"/>
      <c r="BS167" s="901"/>
      <c r="BT167" s="901"/>
      <c r="BU167" s="901"/>
      <c r="BV167" s="901"/>
      <c r="BW167" s="901"/>
      <c r="BX167" s="901"/>
      <c r="BY167" s="901"/>
      <c r="BZ167" s="901"/>
      <c r="CA167" s="901"/>
      <c r="CB167" s="901"/>
      <c r="CC167" s="901"/>
      <c r="CD167" s="901"/>
      <c r="CE167" s="901"/>
      <c r="CF167" s="901"/>
      <c r="CG167" s="901"/>
      <c r="CH167" s="901"/>
      <c r="CI167" s="901"/>
      <c r="CJ167" s="901"/>
      <c r="CK167" s="901"/>
      <c r="CL167" s="901"/>
      <c r="CM167" s="901"/>
      <c r="CN167" s="901"/>
      <c r="CO167" s="901"/>
      <c r="CP167" s="901"/>
      <c r="CQ167" s="901"/>
      <c r="CR167" s="901"/>
      <c r="CS167" s="901"/>
      <c r="CT167" s="901"/>
      <c r="CU167" s="901"/>
      <c r="CV167" s="901"/>
      <c r="CW167" s="901"/>
      <c r="CX167" s="901"/>
      <c r="CY167" s="901"/>
      <c r="CZ167" s="901"/>
      <c r="DA167" s="901"/>
      <c r="DB167" s="901"/>
      <c r="DC167" s="901"/>
      <c r="DD167" s="901"/>
      <c r="DE167" s="901"/>
      <c r="DF167" s="901"/>
      <c r="DG167" s="901"/>
      <c r="DH167" s="901"/>
      <c r="DI167" s="901"/>
      <c r="DJ167" s="901"/>
      <c r="DK167" s="901"/>
      <c r="DL167" s="901"/>
      <c r="DM167" s="901"/>
      <c r="DN167" s="901"/>
      <c r="DO167" s="901"/>
      <c r="DP167" s="901"/>
      <c r="DQ167" s="901"/>
      <c r="DR167" s="901"/>
      <c r="DS167" s="901"/>
      <c r="DT167" s="901"/>
      <c r="DU167" s="901"/>
      <c r="DV167" s="901"/>
      <c r="DW167" s="901"/>
      <c r="DX167" s="901"/>
      <c r="DY167" s="901"/>
      <c r="DZ167" s="901"/>
      <c r="EA167" s="901"/>
      <c r="EB167" s="901"/>
      <c r="EC167" s="901"/>
      <c r="ED167" s="901"/>
      <c r="EE167" s="901"/>
      <c r="EF167" s="901"/>
      <c r="EG167" s="901"/>
      <c r="EH167" s="901"/>
      <c r="EI167" s="901"/>
      <c r="EJ167" s="901"/>
      <c r="EK167" s="901"/>
      <c r="EL167" s="901"/>
      <c r="EM167" s="901"/>
      <c r="EN167" s="901"/>
      <c r="EO167" s="901"/>
      <c r="EP167" s="901"/>
      <c r="EQ167" s="901"/>
      <c r="ER167" s="901"/>
      <c r="ES167" s="901"/>
      <c r="ET167" s="901"/>
      <c r="EU167" s="901"/>
      <c r="EV167" s="901"/>
      <c r="EW167" s="901"/>
      <c r="EX167" s="901"/>
      <c r="EY167" s="901"/>
      <c r="EZ167" s="901"/>
      <c r="FA167" s="901"/>
      <c r="FB167" s="901"/>
      <c r="FC167" s="901"/>
      <c r="FD167" s="901"/>
      <c r="FE167" s="901"/>
      <c r="FF167" s="901"/>
      <c r="FG167" s="901"/>
      <c r="FH167" s="901"/>
      <c r="FI167" s="901"/>
      <c r="FJ167" s="901"/>
      <c r="FK167" s="901"/>
      <c r="FL167" s="901"/>
      <c r="FM167" s="901"/>
      <c r="FN167" s="901"/>
      <c r="FO167" s="901"/>
      <c r="FP167" s="901"/>
      <c r="FQ167" s="901"/>
      <c r="FR167" s="901"/>
      <c r="FS167" s="901"/>
      <c r="FT167" s="901"/>
      <c r="FU167" s="901"/>
      <c r="FV167" s="901"/>
      <c r="FW167" s="901"/>
      <c r="FX167" s="901"/>
      <c r="FY167" s="901"/>
      <c r="FZ167" s="901"/>
      <c r="GA167" s="901"/>
      <c r="GB167" s="901"/>
      <c r="GC167" s="901"/>
      <c r="GD167" s="901"/>
      <c r="GE167" s="901"/>
      <c r="GF167" s="901"/>
      <c r="GG167" s="901"/>
      <c r="GH167" s="901"/>
      <c r="GI167" s="901"/>
      <c r="GJ167" s="901"/>
      <c r="GK167" s="901"/>
      <c r="GL167" s="901"/>
      <c r="GM167" s="901"/>
      <c r="GN167" s="901"/>
      <c r="GO167" s="901"/>
      <c r="GP167" s="901"/>
      <c r="GQ167" s="901"/>
      <c r="GR167" s="901"/>
      <c r="GS167" s="901"/>
      <c r="GT167" s="901"/>
      <c r="GU167" s="901"/>
      <c r="GV167" s="901"/>
      <c r="GW167" s="901"/>
      <c r="GX167" s="901"/>
      <c r="GY167" s="901"/>
      <c r="GZ167" s="901"/>
      <c r="HA167" s="901"/>
      <c r="HB167" s="901"/>
      <c r="HC167" s="901"/>
      <c r="HD167" s="901"/>
      <c r="HE167" s="901"/>
      <c r="HF167" s="901"/>
      <c r="HG167" s="901"/>
      <c r="HH167" s="901"/>
      <c r="HI167" s="901"/>
      <c r="HJ167" s="901"/>
      <c r="HK167" s="901"/>
      <c r="HL167" s="901"/>
      <c r="HM167" s="901"/>
      <c r="HN167" s="901"/>
      <c r="HO167" s="901"/>
      <c r="HP167" s="901"/>
      <c r="HQ167" s="901"/>
      <c r="HR167" s="901"/>
      <c r="HS167" s="901"/>
      <c r="HT167" s="901"/>
      <c r="HU167" s="901"/>
      <c r="HV167" s="901"/>
      <c r="HW167" s="901"/>
      <c r="HX167" s="901"/>
      <c r="HY167" s="901"/>
      <c r="HZ167" s="901"/>
      <c r="IA167" s="901"/>
      <c r="IB167" s="901"/>
      <c r="IC167" s="901"/>
      <c r="ID167" s="901"/>
      <c r="IE167" s="901"/>
      <c r="IF167" s="901"/>
      <c r="IG167" s="901"/>
      <c r="IH167" s="901"/>
      <c r="II167" s="901"/>
      <c r="IJ167" s="901"/>
      <c r="IK167" s="901"/>
      <c r="IL167" s="901"/>
      <c r="IM167" s="901"/>
      <c r="IN167" s="901"/>
      <c r="IO167" s="901"/>
      <c r="IP167" s="901"/>
      <c r="IQ167" s="901"/>
      <c r="IR167" s="901"/>
      <c r="IS167" s="901"/>
      <c r="IT167" s="901"/>
      <c r="IU167" s="901"/>
      <c r="IV167" s="901"/>
      <c r="IW167" s="901"/>
      <c r="IX167" s="901"/>
      <c r="IY167" s="901"/>
      <c r="IZ167" s="901"/>
      <c r="JA167" s="901"/>
      <c r="JB167" s="901"/>
      <c r="JC167" s="901"/>
      <c r="JD167" s="901"/>
      <c r="JE167" s="901"/>
      <c r="JF167" s="901"/>
      <c r="JG167" s="901"/>
      <c r="JH167" s="901"/>
      <c r="JI167" s="901"/>
      <c r="JJ167" s="901"/>
      <c r="JK167" s="901"/>
      <c r="JL167" s="901"/>
      <c r="JM167" s="901"/>
      <c r="JN167" s="901"/>
      <c r="JO167" s="901"/>
      <c r="JP167" s="901"/>
      <c r="JQ167" s="901"/>
      <c r="JR167" s="901"/>
      <c r="JS167" s="901"/>
      <c r="JT167" s="901"/>
      <c r="JU167" s="901"/>
      <c r="JV167" s="901"/>
      <c r="JW167" s="901"/>
      <c r="JX167" s="901"/>
      <c r="JY167" s="901"/>
      <c r="JZ167" s="901"/>
      <c r="KA167" s="901"/>
      <c r="KB167" s="901"/>
      <c r="KC167" s="901"/>
      <c r="KD167" s="901"/>
      <c r="KE167" s="901"/>
      <c r="KF167" s="901"/>
      <c r="KG167" s="901"/>
      <c r="KH167" s="901"/>
      <c r="KI167" s="901"/>
      <c r="KJ167" s="901"/>
      <c r="KK167" s="901"/>
      <c r="KL167" s="901"/>
      <c r="KM167" s="901"/>
      <c r="KN167" s="901"/>
      <c r="KO167" s="901"/>
      <c r="KP167" s="901"/>
      <c r="KQ167" s="901"/>
      <c r="KR167" s="901"/>
      <c r="KS167" s="901"/>
      <c r="KT167" s="901"/>
      <c r="KU167" s="901"/>
      <c r="KV167" s="901"/>
      <c r="KW167" s="901"/>
      <c r="KX167" s="901"/>
      <c r="KY167" s="901"/>
      <c r="KZ167" s="901"/>
      <c r="LA167" s="901"/>
      <c r="LB167" s="901"/>
      <c r="LC167" s="901"/>
      <c r="LD167" s="901"/>
      <c r="LE167" s="901"/>
      <c r="LF167" s="901"/>
      <c r="LG167" s="901"/>
      <c r="LH167" s="901"/>
      <c r="LI167" s="901"/>
      <c r="LJ167" s="901"/>
      <c r="LK167" s="901"/>
      <c r="LL167" s="901"/>
      <c r="LM167" s="901"/>
      <c r="LN167" s="901"/>
      <c r="LO167" s="901"/>
      <c r="LP167" s="901"/>
      <c r="LQ167" s="901"/>
      <c r="LR167" s="901"/>
      <c r="LS167" s="901"/>
      <c r="LT167" s="901"/>
      <c r="LU167" s="901"/>
      <c r="LV167" s="901"/>
      <c r="LW167" s="901"/>
      <c r="LX167" s="901"/>
      <c r="LY167" s="901"/>
      <c r="LZ167" s="901"/>
      <c r="MA167" s="901"/>
      <c r="MB167" s="901"/>
      <c r="MC167" s="901"/>
      <c r="MD167" s="901"/>
      <c r="ME167" s="901"/>
      <c r="MF167" s="901"/>
      <c r="MG167" s="901"/>
      <c r="MH167" s="901"/>
      <c r="MI167" s="901"/>
      <c r="MJ167" s="901"/>
      <c r="MK167" s="901"/>
      <c r="ML167" s="901"/>
      <c r="MM167" s="901"/>
      <c r="MN167" s="901"/>
      <c r="MO167" s="901"/>
      <c r="MP167" s="901"/>
      <c r="MQ167" s="901"/>
      <c r="MR167" s="901"/>
      <c r="MS167" s="901"/>
      <c r="MT167" s="901"/>
      <c r="MU167" s="901"/>
      <c r="MV167" s="901"/>
      <c r="MW167" s="901"/>
      <c r="MX167" s="901"/>
      <c r="MY167" s="901"/>
      <c r="MZ167" s="901"/>
      <c r="NA167" s="901"/>
      <c r="NB167" s="901"/>
      <c r="NC167" s="901"/>
      <c r="ND167" s="901"/>
      <c r="NE167" s="901"/>
      <c r="NF167" s="901"/>
      <c r="NG167" s="901"/>
      <c r="NH167" s="901"/>
      <c r="NI167" s="901"/>
      <c r="NJ167" s="901"/>
      <c r="NK167" s="901"/>
      <c r="NL167" s="901"/>
      <c r="NM167" s="901"/>
      <c r="NN167" s="901"/>
      <c r="NO167" s="901"/>
      <c r="NP167" s="901"/>
      <c r="NQ167" s="901"/>
      <c r="NR167" s="901"/>
      <c r="NS167" s="901"/>
      <c r="NT167" s="901"/>
      <c r="NU167" s="901"/>
      <c r="NV167" s="901"/>
      <c r="NW167" s="901"/>
      <c r="NX167" s="901"/>
      <c r="NY167" s="901"/>
      <c r="NZ167" s="901"/>
      <c r="OA167" s="901"/>
      <c r="OB167" s="901"/>
      <c r="OC167" s="901"/>
      <c r="OD167" s="901"/>
      <c r="OE167" s="901"/>
      <c r="OF167" s="901"/>
      <c r="OG167" s="901"/>
      <c r="OH167" s="901"/>
      <c r="OI167" s="901"/>
      <c r="OJ167" s="901"/>
      <c r="OK167" s="901"/>
      <c r="OL167" s="901"/>
      <c r="OM167" s="901"/>
      <c r="ON167" s="901"/>
      <c r="OO167" s="901"/>
      <c r="OP167" s="901"/>
      <c r="OQ167" s="901"/>
      <c r="OR167" s="901"/>
      <c r="OS167" s="901"/>
      <c r="OT167" s="901"/>
      <c r="OU167" s="901"/>
      <c r="OV167" s="901"/>
      <c r="OW167" s="901"/>
      <c r="OX167" s="901"/>
      <c r="OY167" s="901"/>
      <c r="OZ167" s="901"/>
      <c r="PA167" s="901"/>
      <c r="PB167" s="901"/>
      <c r="PC167" s="901"/>
      <c r="PD167" s="901"/>
      <c r="PE167" s="901"/>
      <c r="PF167" s="901"/>
      <c r="PG167" s="901"/>
      <c r="PH167" s="901"/>
      <c r="PI167" s="901"/>
      <c r="PJ167" s="901"/>
      <c r="PK167" s="901"/>
      <c r="PL167" s="901"/>
      <c r="PM167" s="901"/>
      <c r="PN167" s="901"/>
      <c r="PO167" s="901"/>
      <c r="PP167" s="901"/>
      <c r="PQ167" s="901"/>
      <c r="PR167" s="901"/>
      <c r="PS167" s="901"/>
      <c r="PT167" s="901"/>
      <c r="PU167" s="901"/>
      <c r="PV167" s="901"/>
      <c r="PW167" s="901"/>
      <c r="PX167" s="901"/>
      <c r="PY167" s="901"/>
      <c r="PZ167" s="901"/>
      <c r="QA167" s="901"/>
      <c r="QB167" s="901"/>
      <c r="QC167" s="901"/>
      <c r="QD167" s="901"/>
      <c r="QE167" s="901"/>
      <c r="QF167" s="901"/>
      <c r="QG167" s="901"/>
      <c r="QH167" s="901"/>
      <c r="QI167" s="901"/>
      <c r="QJ167" s="901"/>
      <c r="QK167" s="901"/>
      <c r="QL167" s="901"/>
      <c r="QM167" s="901"/>
      <c r="QN167" s="901"/>
      <c r="QO167" s="901"/>
      <c r="QP167" s="901"/>
      <c r="QQ167" s="901"/>
      <c r="QR167" s="901"/>
      <c r="QS167" s="901"/>
      <c r="QT167" s="901"/>
      <c r="QU167" s="901"/>
      <c r="QV167" s="901"/>
      <c r="QW167" s="901"/>
      <c r="QX167" s="901"/>
      <c r="QY167" s="901"/>
      <c r="QZ167" s="901"/>
      <c r="RA167" s="901"/>
      <c r="RB167" s="901"/>
      <c r="RC167" s="901"/>
      <c r="RD167" s="901"/>
      <c r="RE167" s="901"/>
      <c r="RF167" s="901"/>
      <c r="RG167" s="901"/>
      <c r="RH167" s="901"/>
      <c r="RI167" s="901"/>
      <c r="RJ167" s="901"/>
      <c r="RK167" s="901"/>
      <c r="RL167" s="901"/>
      <c r="RM167" s="901"/>
      <c r="RN167" s="901"/>
      <c r="RO167" s="901"/>
      <c r="RP167" s="901"/>
      <c r="RQ167" s="901"/>
      <c r="RR167" s="901"/>
      <c r="RS167" s="901"/>
      <c r="RT167" s="901"/>
      <c r="RU167" s="901"/>
      <c r="RV167" s="901"/>
      <c r="RW167" s="901"/>
      <c r="RX167" s="901"/>
      <c r="RY167" s="901"/>
      <c r="RZ167" s="901"/>
      <c r="SA167" s="901"/>
      <c r="SB167" s="901"/>
      <c r="SC167" s="901"/>
      <c r="SD167" s="901"/>
      <c r="SE167" s="901"/>
      <c r="SF167" s="901"/>
      <c r="SG167" s="901"/>
      <c r="SH167" s="901"/>
      <c r="SI167" s="901"/>
      <c r="SJ167" s="901"/>
      <c r="SK167" s="901"/>
      <c r="SL167" s="901"/>
      <c r="SM167" s="901"/>
      <c r="SN167" s="901"/>
      <c r="SO167" s="901"/>
      <c r="SP167" s="901"/>
      <c r="SQ167" s="901"/>
      <c r="SR167" s="901"/>
      <c r="SS167" s="901"/>
      <c r="ST167" s="901"/>
      <c r="SU167" s="901"/>
      <c r="SV167" s="901"/>
      <c r="SW167" s="901"/>
      <c r="SX167" s="901"/>
      <c r="SY167" s="901"/>
      <c r="SZ167" s="901"/>
      <c r="TA167" s="901"/>
      <c r="TB167" s="901"/>
      <c r="TC167" s="901"/>
      <c r="TD167" s="901"/>
      <c r="TE167" s="901"/>
      <c r="TF167" s="901"/>
      <c r="TG167" s="901"/>
      <c r="TH167" s="901"/>
      <c r="TI167" s="901"/>
      <c r="TJ167" s="901"/>
      <c r="TK167" s="901"/>
      <c r="TL167" s="901"/>
      <c r="TM167" s="901"/>
      <c r="TN167" s="901"/>
      <c r="TO167" s="901"/>
      <c r="TP167" s="901"/>
      <c r="TQ167" s="901"/>
      <c r="TR167" s="901"/>
      <c r="TS167" s="901"/>
      <c r="TT167" s="901"/>
      <c r="TU167" s="901"/>
      <c r="TV167" s="901"/>
      <c r="TW167" s="901"/>
      <c r="TX167" s="901"/>
      <c r="TY167" s="901"/>
      <c r="TZ167" s="901"/>
      <c r="UA167" s="901"/>
      <c r="UB167" s="901"/>
      <c r="UC167" s="901"/>
      <c r="UD167" s="901"/>
      <c r="UE167" s="901"/>
      <c r="UF167" s="901"/>
      <c r="UG167" s="901"/>
      <c r="UH167" s="901"/>
      <c r="UI167" s="901"/>
      <c r="UJ167" s="901"/>
      <c r="UK167" s="901"/>
      <c r="UL167" s="901"/>
      <c r="UM167" s="901"/>
      <c r="UN167" s="901"/>
      <c r="UO167" s="901"/>
      <c r="UP167" s="901"/>
      <c r="UQ167" s="901"/>
      <c r="UR167" s="901"/>
      <c r="US167" s="901"/>
      <c r="UT167" s="901"/>
      <c r="UU167" s="901"/>
      <c r="UV167" s="901"/>
      <c r="UW167" s="901"/>
      <c r="UX167" s="901"/>
      <c r="UY167" s="901"/>
      <c r="UZ167" s="901"/>
      <c r="VA167" s="901"/>
      <c r="VB167" s="901"/>
      <c r="VC167" s="901"/>
      <c r="VD167" s="901"/>
      <c r="VE167" s="901"/>
      <c r="VF167" s="901"/>
      <c r="VG167" s="901"/>
      <c r="VH167" s="901"/>
      <c r="VI167" s="901"/>
      <c r="VJ167" s="901"/>
      <c r="VK167" s="901"/>
      <c r="VL167" s="901"/>
      <c r="VM167" s="901"/>
      <c r="VN167" s="901"/>
      <c r="VO167" s="901"/>
      <c r="VP167" s="901"/>
      <c r="VQ167" s="901"/>
      <c r="VR167" s="901"/>
      <c r="VS167" s="901"/>
      <c r="VT167" s="901"/>
      <c r="VU167" s="901"/>
      <c r="VV167" s="901"/>
      <c r="VW167" s="901"/>
      <c r="VX167" s="901"/>
      <c r="VY167" s="901"/>
      <c r="VZ167" s="901"/>
      <c r="WA167" s="901"/>
      <c r="WB167" s="901"/>
      <c r="WC167" s="901"/>
      <c r="WD167" s="901"/>
      <c r="WE167" s="901"/>
      <c r="WF167" s="901"/>
      <c r="WG167" s="901"/>
      <c r="WH167" s="901"/>
      <c r="WI167" s="901"/>
      <c r="WJ167" s="901"/>
      <c r="WK167" s="901"/>
      <c r="WL167" s="901"/>
      <c r="WM167" s="901"/>
      <c r="WN167" s="901"/>
      <c r="WO167" s="901"/>
      <c r="WP167" s="901"/>
      <c r="WQ167" s="901"/>
      <c r="WR167" s="901"/>
      <c r="WS167" s="901"/>
      <c r="WT167" s="901"/>
      <c r="WU167" s="901"/>
      <c r="WV167" s="901"/>
      <c r="WW167" s="901"/>
      <c r="WX167" s="901"/>
      <c r="WY167" s="901"/>
      <c r="WZ167" s="901"/>
      <c r="XA167" s="901"/>
      <c r="XB167" s="901"/>
      <c r="XC167" s="901"/>
      <c r="XD167" s="901"/>
      <c r="XE167" s="901"/>
      <c r="XF167" s="901"/>
      <c r="XG167" s="901"/>
      <c r="XH167" s="901"/>
      <c r="XI167" s="901"/>
      <c r="XJ167" s="901"/>
      <c r="XK167" s="901"/>
      <c r="XL167" s="901"/>
      <c r="XM167" s="901"/>
      <c r="XN167" s="901"/>
      <c r="XO167" s="901"/>
      <c r="XP167" s="901"/>
      <c r="XQ167" s="901"/>
      <c r="XR167" s="901"/>
      <c r="XS167" s="901"/>
      <c r="XT167" s="901"/>
      <c r="XU167" s="901"/>
      <c r="XV167" s="901"/>
      <c r="XW167" s="901"/>
      <c r="XX167" s="901"/>
      <c r="XY167" s="901"/>
      <c r="XZ167" s="901"/>
      <c r="YA167" s="901"/>
      <c r="YB167" s="901"/>
      <c r="YC167" s="901"/>
      <c r="YD167" s="901"/>
      <c r="YE167" s="901"/>
      <c r="YF167" s="901"/>
      <c r="YG167" s="901"/>
      <c r="YH167" s="901"/>
      <c r="YI167" s="901"/>
      <c r="YJ167" s="901"/>
      <c r="YK167" s="901"/>
      <c r="YL167" s="901"/>
      <c r="YM167" s="901"/>
      <c r="YN167" s="901"/>
      <c r="YO167" s="901"/>
      <c r="YP167" s="901"/>
      <c r="YQ167" s="901"/>
      <c r="YR167" s="901"/>
      <c r="YS167" s="901"/>
      <c r="YT167" s="901"/>
      <c r="YU167" s="901"/>
      <c r="YV167" s="901"/>
      <c r="YW167" s="901"/>
      <c r="YX167" s="901"/>
      <c r="YY167" s="901"/>
      <c r="YZ167" s="901"/>
      <c r="ZA167" s="901"/>
      <c r="ZB167" s="901"/>
      <c r="ZC167" s="901"/>
      <c r="ZD167" s="901"/>
      <c r="ZE167" s="901"/>
      <c r="ZF167" s="901"/>
      <c r="ZG167" s="901"/>
      <c r="ZH167" s="901"/>
      <c r="ZI167" s="901"/>
      <c r="ZJ167" s="901"/>
      <c r="ZK167" s="901"/>
      <c r="ZL167" s="901"/>
      <c r="ZM167" s="901"/>
      <c r="ZN167" s="901"/>
      <c r="ZO167" s="901"/>
      <c r="ZP167" s="901"/>
      <c r="ZQ167" s="901"/>
      <c r="ZR167" s="901"/>
      <c r="ZS167" s="901"/>
      <c r="ZT167" s="901"/>
      <c r="ZU167" s="901"/>
      <c r="ZV167" s="901"/>
      <c r="ZW167" s="901"/>
      <c r="ZX167" s="901"/>
      <c r="ZY167" s="901"/>
      <c r="ZZ167" s="901"/>
      <c r="AAA167" s="901"/>
      <c r="AAB167" s="901"/>
      <c r="AAC167" s="901"/>
      <c r="AAD167" s="901"/>
      <c r="AAE167" s="901"/>
      <c r="AAF167" s="901"/>
      <c r="AAG167" s="901"/>
      <c r="AAH167" s="901"/>
      <c r="AAI167" s="901"/>
      <c r="AAJ167" s="901"/>
      <c r="AAK167" s="901"/>
      <c r="AAL167" s="901"/>
      <c r="AAM167" s="901"/>
      <c r="AAN167" s="901"/>
      <c r="AAO167" s="901"/>
      <c r="AAP167" s="901"/>
      <c r="AAQ167" s="901"/>
      <c r="AAR167" s="901"/>
      <c r="AAS167" s="901"/>
      <c r="AAT167" s="901"/>
      <c r="AAU167" s="901"/>
      <c r="AAV167" s="901"/>
      <c r="AAW167" s="901"/>
      <c r="AAX167" s="901"/>
      <c r="AAY167" s="901"/>
      <c r="AAZ167" s="901"/>
      <c r="ABA167" s="901"/>
      <c r="ABB167" s="901"/>
      <c r="ABC167" s="901"/>
      <c r="ABD167" s="901"/>
      <c r="ABE167" s="901"/>
      <c r="ABF167" s="901"/>
      <c r="ABG167" s="901"/>
      <c r="ABH167" s="901"/>
      <c r="ABI167" s="901"/>
      <c r="ABJ167" s="901"/>
      <c r="ABK167" s="901"/>
      <c r="ABL167" s="901"/>
      <c r="ABM167" s="901"/>
      <c r="ABN167" s="901"/>
      <c r="ABO167" s="901"/>
      <c r="ABP167" s="901"/>
      <c r="ABQ167" s="901"/>
      <c r="ABR167" s="901"/>
      <c r="ABS167" s="901"/>
      <c r="ABT167" s="901"/>
      <c r="ABU167" s="901"/>
      <c r="ABV167" s="901"/>
      <c r="ABW167" s="901"/>
      <c r="ABX167" s="901"/>
      <c r="ABY167" s="901"/>
      <c r="ABZ167" s="901"/>
      <c r="ACA167" s="901"/>
      <c r="ACB167" s="901"/>
      <c r="ACC167" s="901"/>
      <c r="ACD167" s="901"/>
      <c r="ACE167" s="901"/>
      <c r="ACF167" s="901"/>
      <c r="ACG167" s="901"/>
      <c r="ACH167" s="901"/>
      <c r="ACI167" s="901"/>
      <c r="ACJ167" s="901"/>
      <c r="ACK167" s="901"/>
      <c r="ACL167" s="901"/>
      <c r="ACM167" s="901"/>
      <c r="ACN167" s="901"/>
      <c r="ACO167" s="901"/>
      <c r="ACP167" s="901"/>
      <c r="ACQ167" s="901"/>
      <c r="ACR167" s="901"/>
      <c r="ACS167" s="901"/>
      <c r="ACT167" s="901"/>
      <c r="ACU167" s="901"/>
      <c r="ACV167" s="901"/>
      <c r="ACW167" s="901"/>
      <c r="ACX167" s="901"/>
      <c r="ACY167" s="901"/>
      <c r="ACZ167" s="901"/>
      <c r="ADA167" s="901"/>
      <c r="ADB167" s="901"/>
      <c r="ADC167" s="901"/>
      <c r="ADD167" s="901"/>
      <c r="ADE167" s="901"/>
      <c r="ADF167" s="901"/>
      <c r="ADG167" s="901"/>
      <c r="ADH167" s="901"/>
      <c r="ADI167" s="901"/>
      <c r="ADJ167" s="901"/>
      <c r="ADK167" s="901"/>
      <c r="ADL167" s="901"/>
      <c r="ADM167" s="901"/>
      <c r="ADN167" s="901"/>
      <c r="ADO167" s="901"/>
      <c r="ADP167" s="901"/>
      <c r="ADQ167" s="901"/>
      <c r="ADR167" s="901"/>
      <c r="ADS167" s="901"/>
      <c r="ADT167" s="901"/>
      <c r="ADU167" s="901"/>
      <c r="ADV167" s="901"/>
      <c r="ADW167" s="901"/>
      <c r="ADX167" s="901"/>
      <c r="ADY167" s="901"/>
      <c r="ADZ167" s="901"/>
      <c r="AEA167" s="901"/>
      <c r="AEB167" s="901"/>
      <c r="AEC167" s="901"/>
      <c r="AED167" s="901"/>
      <c r="AEE167" s="901"/>
      <c r="AEF167" s="901"/>
      <c r="AEG167" s="901"/>
      <c r="AEH167" s="901"/>
      <c r="AEI167" s="901"/>
      <c r="AEJ167" s="901"/>
      <c r="AEK167" s="901"/>
      <c r="AEL167" s="901"/>
      <c r="AEM167" s="901"/>
      <c r="AEN167" s="901"/>
      <c r="AEO167" s="901"/>
      <c r="AEP167" s="901"/>
      <c r="AEQ167" s="901"/>
      <c r="AER167" s="901"/>
      <c r="AES167" s="901"/>
      <c r="AET167" s="901"/>
      <c r="AEU167" s="901"/>
      <c r="AEV167" s="901"/>
      <c r="AEW167" s="901"/>
      <c r="AEX167" s="901"/>
      <c r="AEY167" s="901"/>
      <c r="AEZ167" s="901"/>
      <c r="AFA167" s="901"/>
      <c r="AFB167" s="901"/>
      <c r="AFC167" s="901"/>
      <c r="AFD167" s="901"/>
      <c r="AFE167" s="901"/>
      <c r="AFF167" s="901"/>
      <c r="AFG167" s="901"/>
      <c r="AFH167" s="901"/>
      <c r="AFI167" s="901"/>
      <c r="AFJ167" s="901"/>
      <c r="AFK167" s="901"/>
      <c r="AFL167" s="901"/>
      <c r="AFM167" s="901"/>
      <c r="AFN167" s="901"/>
      <c r="AFO167" s="901"/>
      <c r="AFP167" s="901"/>
      <c r="AFQ167" s="901"/>
      <c r="AFR167" s="901"/>
      <c r="AFS167" s="901"/>
      <c r="AFT167" s="901"/>
      <c r="AFU167" s="901"/>
      <c r="AFV167" s="901"/>
      <c r="AFW167" s="901"/>
      <c r="AFX167" s="901"/>
      <c r="AFY167" s="901"/>
      <c r="AFZ167" s="901"/>
      <c r="AGA167" s="901"/>
      <c r="AGB167" s="901"/>
      <c r="AGC167" s="901"/>
      <c r="AGD167" s="901"/>
      <c r="AGE167" s="901"/>
      <c r="AGF167" s="901"/>
      <c r="AGG167" s="901"/>
      <c r="AGH167" s="901"/>
      <c r="AGI167" s="901"/>
      <c r="AGJ167" s="901"/>
      <c r="AGK167" s="901"/>
      <c r="AGL167" s="901"/>
      <c r="AGM167" s="901"/>
      <c r="AGN167" s="901"/>
      <c r="AGO167" s="901"/>
      <c r="AGP167" s="901"/>
      <c r="AGQ167" s="901"/>
      <c r="AGR167" s="901"/>
      <c r="AGS167" s="901"/>
      <c r="AGT167" s="901"/>
      <c r="AGU167" s="901"/>
      <c r="AGV167" s="901"/>
      <c r="AGW167" s="901"/>
      <c r="AGX167" s="901"/>
      <c r="AGY167" s="901"/>
      <c r="AGZ167" s="901"/>
      <c r="AHA167" s="901"/>
      <c r="AHB167" s="901"/>
      <c r="AHC167" s="901"/>
      <c r="AHD167" s="901"/>
      <c r="AHE167" s="901"/>
      <c r="AHF167" s="901"/>
      <c r="AHG167" s="901"/>
      <c r="AHH167" s="901"/>
      <c r="AHI167" s="901"/>
      <c r="AHJ167" s="901"/>
      <c r="AHK167" s="901"/>
      <c r="AHL167" s="901"/>
      <c r="AHM167" s="901"/>
      <c r="AHN167" s="901"/>
      <c r="AHO167" s="901"/>
      <c r="AHP167" s="901"/>
      <c r="AHQ167" s="901"/>
      <c r="AHR167" s="901"/>
      <c r="AHS167" s="901"/>
      <c r="AHT167" s="901"/>
      <c r="AHU167" s="901"/>
      <c r="AHV167" s="901"/>
      <c r="AHW167" s="901"/>
      <c r="AHX167" s="901"/>
      <c r="AHY167" s="901"/>
      <c r="AHZ167" s="901"/>
      <c r="AIA167" s="901"/>
      <c r="AIB167" s="901"/>
      <c r="AIC167" s="901"/>
      <c r="AID167" s="901"/>
      <c r="AIE167" s="901"/>
      <c r="AIF167" s="901"/>
      <c r="AIG167" s="901"/>
      <c r="AIH167" s="901"/>
      <c r="AII167" s="901"/>
      <c r="AIJ167" s="901"/>
      <c r="AIK167" s="901"/>
      <c r="AIL167" s="901"/>
      <c r="AIM167" s="901"/>
      <c r="AIN167" s="901"/>
      <c r="AIO167" s="901"/>
      <c r="AIP167" s="901"/>
      <c r="AIQ167" s="901"/>
      <c r="AIR167" s="901"/>
      <c r="AIS167" s="901"/>
      <c r="AIT167" s="901"/>
      <c r="AIU167" s="901"/>
      <c r="AIV167" s="901"/>
      <c r="AIW167" s="901"/>
      <c r="AIX167" s="901"/>
      <c r="AIY167" s="901"/>
      <c r="AIZ167" s="901"/>
      <c r="AJA167" s="901"/>
      <c r="AJB167" s="901"/>
      <c r="AJC167" s="901"/>
      <c r="AJD167" s="901"/>
      <c r="AJE167" s="901"/>
      <c r="AJF167" s="901"/>
      <c r="AJG167" s="901"/>
      <c r="AJH167" s="901"/>
      <c r="AJI167" s="901"/>
      <c r="AJJ167" s="901"/>
      <c r="AJK167" s="901"/>
      <c r="AJL167" s="901"/>
      <c r="AJM167" s="901"/>
      <c r="AJN167" s="901"/>
      <c r="AJO167" s="901"/>
      <c r="AJP167" s="901"/>
      <c r="AJQ167" s="901"/>
      <c r="AJR167" s="901"/>
      <c r="AJS167" s="901"/>
      <c r="AJT167" s="901"/>
      <c r="AJU167" s="901"/>
      <c r="AJV167" s="901"/>
      <c r="AJW167" s="901"/>
      <c r="AJX167" s="901"/>
      <c r="AJY167" s="901"/>
      <c r="AJZ167" s="901"/>
      <c r="AKA167" s="901"/>
      <c r="AKB167" s="901"/>
      <c r="AKC167" s="901"/>
      <c r="AKD167" s="901"/>
      <c r="AKE167" s="901"/>
      <c r="AKF167" s="901"/>
      <c r="AKG167" s="901"/>
      <c r="AKH167" s="901"/>
      <c r="AKI167" s="901"/>
      <c r="AKJ167" s="901"/>
      <c r="AKK167" s="901"/>
      <c r="AKL167" s="901"/>
      <c r="AKM167" s="901"/>
      <c r="AKN167" s="901"/>
      <c r="AKO167" s="901"/>
      <c r="AKP167" s="901"/>
      <c r="AKQ167" s="901"/>
      <c r="AKR167" s="901"/>
      <c r="AKS167" s="901"/>
      <c r="AKT167" s="901"/>
      <c r="AKU167" s="901"/>
      <c r="AKV167" s="901"/>
      <c r="AKW167" s="901"/>
      <c r="AKX167" s="901"/>
      <c r="AKY167" s="901"/>
      <c r="AKZ167" s="901"/>
      <c r="ALA167" s="901"/>
      <c r="ALB167" s="901"/>
      <c r="ALC167" s="901"/>
      <c r="ALD167" s="901"/>
      <c r="ALE167" s="901"/>
      <c r="ALF167" s="901"/>
      <c r="ALG167" s="901"/>
      <c r="ALH167" s="901"/>
      <c r="ALI167" s="901"/>
      <c r="ALJ167" s="901"/>
      <c r="ALK167" s="901"/>
      <c r="ALL167" s="901"/>
      <c r="ALM167" s="901"/>
      <c r="ALN167" s="901"/>
      <c r="ALO167" s="901"/>
      <c r="ALP167" s="901"/>
      <c r="ALQ167" s="901"/>
      <c r="ALR167" s="901"/>
      <c r="ALS167" s="901"/>
      <c r="ALT167" s="901"/>
      <c r="ALU167" s="901"/>
      <c r="ALV167" s="901"/>
      <c r="ALW167" s="901"/>
      <c r="ALX167" s="901"/>
      <c r="ALY167" s="901"/>
      <c r="ALZ167" s="901"/>
      <c r="AMA167" s="901"/>
      <c r="AMB167" s="901"/>
      <c r="AMC167" s="901"/>
      <c r="AMD167" s="901"/>
      <c r="AME167" s="901"/>
      <c r="AMF167" s="901"/>
      <c r="AMG167" s="901"/>
      <c r="AMH167" s="901"/>
      <c r="AMI167" s="901"/>
      <c r="AMJ167" s="901"/>
      <c r="AMK167" s="901"/>
      <c r="AML167" s="901"/>
    </row>
    <row r="168" spans="1:1026" ht="25.5">
      <c r="A168" s="80">
        <v>5</v>
      </c>
      <c r="B168" s="14" t="s">
        <v>16</v>
      </c>
      <c r="C168" s="14">
        <v>1</v>
      </c>
      <c r="D168" s="14" t="s">
        <v>16</v>
      </c>
      <c r="E168" s="15" t="s">
        <v>88</v>
      </c>
      <c r="F168" s="14" t="s">
        <v>16</v>
      </c>
      <c r="G168" s="81" t="s">
        <v>195</v>
      </c>
      <c r="H168" s="251" t="s">
        <v>196</v>
      </c>
      <c r="I168" s="108"/>
      <c r="J168" s="109"/>
      <c r="K168" s="108"/>
      <c r="L168" s="109"/>
      <c r="M168" s="109"/>
      <c r="N168" s="109"/>
      <c r="O168" s="422">
        <v>7200</v>
      </c>
      <c r="P168" s="423">
        <v>0</v>
      </c>
      <c r="Q168" s="424">
        <v>5000</v>
      </c>
      <c r="R168" s="423">
        <v>0</v>
      </c>
      <c r="S168" s="113">
        <v>7000</v>
      </c>
      <c r="T168" s="113">
        <v>7000</v>
      </c>
      <c r="U168" s="113">
        <v>-1167.6300000000001</v>
      </c>
      <c r="V168" s="113">
        <v>7000</v>
      </c>
      <c r="W168" s="114">
        <v>-1922.63</v>
      </c>
      <c r="X168" s="115">
        <v>3500</v>
      </c>
      <c r="Y168" s="116">
        <v>0</v>
      </c>
      <c r="Z168" s="117">
        <v>3500</v>
      </c>
      <c r="AA168" s="118">
        <v>-171.63</v>
      </c>
      <c r="AB168" s="117">
        <v>2750</v>
      </c>
      <c r="AC168" s="118">
        <v>-171.63</v>
      </c>
      <c r="AD168" s="117">
        <v>2750</v>
      </c>
      <c r="AE168" s="118">
        <v>-612.64</v>
      </c>
      <c r="AF168" s="117">
        <v>2750</v>
      </c>
      <c r="AG168" s="745">
        <v>-303.45</v>
      </c>
      <c r="AH168" s="867">
        <v>2750</v>
      </c>
      <c r="AI168" s="867">
        <v>2750</v>
      </c>
      <c r="AJ168" s="117">
        <v>2750</v>
      </c>
      <c r="AK168" s="706" t="s">
        <v>197</v>
      </c>
      <c r="AL168" s="514"/>
      <c r="AM168" s="106"/>
      <c r="AN168" s="106"/>
      <c r="AO168" s="65"/>
      <c r="AP168" s="65"/>
      <c r="AQ168" s="65"/>
      <c r="AR168" s="65"/>
      <c r="AS168" s="65"/>
      <c r="AT168" s="65"/>
      <c r="AU168" s="65"/>
      <c r="AV168" s="65"/>
      <c r="AW168" s="65"/>
    </row>
    <row r="169" spans="1:1026">
      <c r="A169" s="80">
        <v>5</v>
      </c>
      <c r="B169" s="14" t="s">
        <v>16</v>
      </c>
      <c r="C169" s="14">
        <v>1</v>
      </c>
      <c r="D169" s="14" t="s">
        <v>16</v>
      </c>
      <c r="E169" s="15" t="s">
        <v>88</v>
      </c>
      <c r="F169" s="14" t="s">
        <v>16</v>
      </c>
      <c r="G169" s="81" t="s">
        <v>198</v>
      </c>
      <c r="H169" s="107" t="s">
        <v>199</v>
      </c>
      <c r="I169" s="108"/>
      <c r="J169" s="109"/>
      <c r="K169" s="108"/>
      <c r="L169" s="109"/>
      <c r="M169" s="109"/>
      <c r="N169" s="109"/>
      <c r="O169" s="422"/>
      <c r="P169" s="423"/>
      <c r="Q169" s="424"/>
      <c r="R169" s="423"/>
      <c r="S169" s="113"/>
      <c r="T169" s="113"/>
      <c r="U169" s="113"/>
      <c r="V169" s="113"/>
      <c r="W169" s="114"/>
      <c r="X169" s="115"/>
      <c r="Y169" s="116"/>
      <c r="Z169" s="117"/>
      <c r="AA169" s="118"/>
      <c r="AB169" s="117">
        <v>2500</v>
      </c>
      <c r="AC169" s="118"/>
      <c r="AD169" s="117">
        <v>2500</v>
      </c>
      <c r="AE169" s="118"/>
      <c r="AF169" s="117">
        <v>2500</v>
      </c>
      <c r="AG169" s="745"/>
      <c r="AH169" s="867">
        <v>2500</v>
      </c>
      <c r="AI169" s="867">
        <v>2500</v>
      </c>
      <c r="AJ169" s="117">
        <v>2500</v>
      </c>
      <c r="AK169" s="700"/>
      <c r="AL169" s="514"/>
      <c r="AM169" s="106"/>
      <c r="AN169" s="106"/>
      <c r="AO169" s="65"/>
      <c r="AP169" s="65"/>
      <c r="AQ169" s="65"/>
      <c r="AR169" s="65"/>
      <c r="AS169" s="65"/>
      <c r="AT169" s="65"/>
      <c r="AU169" s="65"/>
      <c r="AV169" s="65"/>
      <c r="AW169" s="65"/>
    </row>
    <row r="170" spans="1:1026">
      <c r="A170" s="80">
        <v>5</v>
      </c>
      <c r="B170" s="14" t="s">
        <v>16</v>
      </c>
      <c r="C170" s="14">
        <v>1</v>
      </c>
      <c r="D170" s="14" t="s">
        <v>16</v>
      </c>
      <c r="E170" s="15" t="s">
        <v>88</v>
      </c>
      <c r="F170" s="14" t="s">
        <v>16</v>
      </c>
      <c r="G170" s="81" t="s">
        <v>88</v>
      </c>
      <c r="H170" s="251" t="s">
        <v>200</v>
      </c>
      <c r="I170" s="389">
        <v>800</v>
      </c>
      <c r="J170" s="388">
        <v>800</v>
      </c>
      <c r="K170" s="389">
        <v>1000</v>
      </c>
      <c r="L170" s="388">
        <v>0</v>
      </c>
      <c r="M170" s="389">
        <v>1000</v>
      </c>
      <c r="N170" s="388">
        <v>1000</v>
      </c>
      <c r="O170" s="390">
        <v>1000</v>
      </c>
      <c r="P170" s="391">
        <v>882.61</v>
      </c>
      <c r="Q170" s="392">
        <v>1200</v>
      </c>
      <c r="R170" s="391">
        <v>-882.61</v>
      </c>
      <c r="S170" s="393">
        <v>500</v>
      </c>
      <c r="T170" s="393">
        <v>500</v>
      </c>
      <c r="U170" s="393">
        <v>311.83999999999997</v>
      </c>
      <c r="V170" s="393">
        <v>500</v>
      </c>
      <c r="W170" s="394">
        <v>-311.83999999999997</v>
      </c>
      <c r="X170" s="395">
        <v>500</v>
      </c>
      <c r="Y170" s="102">
        <v>0</v>
      </c>
      <c r="Z170" s="103">
        <v>500</v>
      </c>
      <c r="AA170" s="104">
        <v>-369.64</v>
      </c>
      <c r="AB170" s="103">
        <v>500</v>
      </c>
      <c r="AC170" s="104">
        <v>-369.64</v>
      </c>
      <c r="AD170" s="103">
        <v>500</v>
      </c>
      <c r="AE170" s="104">
        <v>-938.95</v>
      </c>
      <c r="AF170" s="103">
        <v>500</v>
      </c>
      <c r="AG170" s="666">
        <v>-318.25</v>
      </c>
      <c r="AH170" s="668">
        <v>1600</v>
      </c>
      <c r="AI170" s="668">
        <v>1600</v>
      </c>
      <c r="AJ170" s="668">
        <v>1600</v>
      </c>
      <c r="AK170" s="706" t="s">
        <v>493</v>
      </c>
      <c r="AL170" s="514"/>
      <c r="AM170" s="106"/>
      <c r="AN170" s="106"/>
      <c r="AO170" s="65"/>
      <c r="AP170" s="65"/>
      <c r="AQ170" s="65"/>
      <c r="AR170" s="65"/>
      <c r="AS170" s="65"/>
      <c r="AT170" s="65"/>
      <c r="AU170" s="65"/>
      <c r="AV170" s="65"/>
      <c r="AW170" s="65"/>
    </row>
    <row r="171" spans="1:1026">
      <c r="A171" s="80">
        <v>5</v>
      </c>
      <c r="B171" s="14" t="s">
        <v>16</v>
      </c>
      <c r="C171" s="14">
        <v>1</v>
      </c>
      <c r="D171" s="14" t="s">
        <v>16</v>
      </c>
      <c r="E171" s="15" t="s">
        <v>88</v>
      </c>
      <c r="F171" s="14" t="s">
        <v>16</v>
      </c>
      <c r="G171" s="81" t="s">
        <v>90</v>
      </c>
      <c r="H171" s="251" t="s">
        <v>201</v>
      </c>
      <c r="I171" s="389">
        <v>800</v>
      </c>
      <c r="J171" s="388">
        <v>210</v>
      </c>
      <c r="K171" s="389">
        <v>2000</v>
      </c>
      <c r="L171" s="388">
        <v>210</v>
      </c>
      <c r="M171" s="389">
        <v>2000</v>
      </c>
      <c r="N171" s="388">
        <v>210</v>
      </c>
      <c r="O171" s="390">
        <v>1000</v>
      </c>
      <c r="P171" s="391">
        <v>210</v>
      </c>
      <c r="Q171" s="392">
        <v>250</v>
      </c>
      <c r="R171" s="391">
        <v>210</v>
      </c>
      <c r="S171" s="393">
        <v>250</v>
      </c>
      <c r="T171" s="393">
        <v>250</v>
      </c>
      <c r="U171" s="393">
        <v>-224.62</v>
      </c>
      <c r="V171" s="393">
        <v>250</v>
      </c>
      <c r="W171" s="394">
        <v>-224.62</v>
      </c>
      <c r="X171" s="395">
        <v>250</v>
      </c>
      <c r="Y171" s="102">
        <v>-220.32</v>
      </c>
      <c r="Z171" s="103">
        <v>250</v>
      </c>
      <c r="AA171" s="104">
        <v>-220.32</v>
      </c>
      <c r="AB171" s="103">
        <v>250</v>
      </c>
      <c r="AC171" s="104">
        <v>-220.32</v>
      </c>
      <c r="AD171" s="103">
        <v>250</v>
      </c>
      <c r="AE171" s="104">
        <v>-220.32</v>
      </c>
      <c r="AF171" s="103">
        <v>250</v>
      </c>
      <c r="AG171" s="666">
        <v>-281.57</v>
      </c>
      <c r="AH171" s="842">
        <v>250</v>
      </c>
      <c r="AI171" s="842">
        <v>250</v>
      </c>
      <c r="AJ171" s="103">
        <v>250</v>
      </c>
      <c r="AK171" s="706" t="s">
        <v>202</v>
      </c>
      <c r="AL171" s="514"/>
      <c r="AM171" s="106"/>
      <c r="AN171" s="106"/>
      <c r="AO171" s="65"/>
      <c r="AP171" s="65"/>
      <c r="AQ171" s="65"/>
      <c r="AR171" s="65"/>
      <c r="AS171" s="65"/>
      <c r="AT171" s="65"/>
      <c r="AU171" s="65"/>
      <c r="AV171" s="65"/>
      <c r="AW171" s="65"/>
    </row>
    <row r="172" spans="1:1026">
      <c r="A172" s="144"/>
      <c r="B172" s="680"/>
      <c r="C172" s="680"/>
      <c r="D172" s="680"/>
      <c r="E172" s="676"/>
      <c r="F172" s="680"/>
      <c r="G172" s="145"/>
      <c r="H172" s="146" t="s">
        <v>203</v>
      </c>
      <c r="I172" s="368">
        <f t="shared" ref="I172:O172" si="67">SUM(I155:I171)</f>
        <v>111000</v>
      </c>
      <c r="J172" s="369">
        <f t="shared" si="67"/>
        <v>99579.4</v>
      </c>
      <c r="K172" s="368">
        <f t="shared" si="67"/>
        <v>103100</v>
      </c>
      <c r="L172" s="369">
        <f t="shared" si="67"/>
        <v>60691.500000000007</v>
      </c>
      <c r="M172" s="368">
        <f t="shared" si="67"/>
        <v>105600</v>
      </c>
      <c r="N172" s="369">
        <f t="shared" si="67"/>
        <v>94618.499999999985</v>
      </c>
      <c r="O172" s="370">
        <f t="shared" si="67"/>
        <v>118800</v>
      </c>
      <c r="P172" s="377">
        <f>SUM(P154:P171)</f>
        <v>95412.25</v>
      </c>
      <c r="Q172" s="425">
        <v>135312.53</v>
      </c>
      <c r="R172" s="377">
        <f>SUM(R154:R171)</f>
        <v>121554.26</v>
      </c>
      <c r="S172" s="372">
        <f>SUM(S154:S171)</f>
        <v>131750</v>
      </c>
      <c r="T172" s="372">
        <f>SUM(T154:T171)</f>
        <v>131750</v>
      </c>
      <c r="U172" s="372"/>
      <c r="V172" s="372">
        <f>SUM(V154:V171)</f>
        <v>371150</v>
      </c>
      <c r="W172" s="373">
        <v>-76672.22</v>
      </c>
      <c r="X172" s="374">
        <f>SUM(X154:X171)</f>
        <v>112950</v>
      </c>
      <c r="Y172" s="375">
        <f>SUM(Y154:Y171)</f>
        <v>-36735.14</v>
      </c>
      <c r="Z172" s="374">
        <f>SUM(Z154:Z171)</f>
        <v>128750</v>
      </c>
      <c r="AA172" s="374">
        <f>SUM(AA154:AA171)</f>
        <v>-127138.46</v>
      </c>
      <c r="AB172" s="374">
        <f>SUM(AB154:AB171)</f>
        <v>147750</v>
      </c>
      <c r="AC172" s="877">
        <v>-124782.05</v>
      </c>
      <c r="AD172" s="374">
        <f>SUM(AD154:AD171)</f>
        <v>145050</v>
      </c>
      <c r="AE172" s="374">
        <f t="shared" ref="AE172" si="68">SUM(AE154:AE171)</f>
        <v>-141077.99000000002</v>
      </c>
      <c r="AF172" s="374">
        <f>SUM(AF154:AF171)</f>
        <v>139350</v>
      </c>
      <c r="AG172" s="374">
        <f t="shared" ref="AG172" si="69">SUM(AG154:AG171)</f>
        <v>-71465.139999999985</v>
      </c>
      <c r="AH172" s="374">
        <f>SUM(AH154:AH171)</f>
        <v>151450</v>
      </c>
      <c r="AI172" s="374">
        <f>SUM(AI154:AI171)</f>
        <v>179500</v>
      </c>
      <c r="AJ172" s="374">
        <f>SUM(AJ154:AJ171)</f>
        <v>178400</v>
      </c>
      <c r="AK172" s="702"/>
      <c r="AM172" s="106"/>
      <c r="AN172" s="106"/>
    </row>
    <row r="173" spans="1:1026">
      <c r="A173" s="80"/>
      <c r="B173" s="14"/>
      <c r="C173" s="14"/>
      <c r="D173" s="14"/>
      <c r="E173" s="15"/>
      <c r="F173" s="14"/>
      <c r="G173" s="81"/>
      <c r="H173" s="251"/>
      <c r="I173" s="281"/>
      <c r="J173" s="289"/>
      <c r="K173" s="281"/>
      <c r="L173" s="289"/>
      <c r="M173" s="281"/>
      <c r="N173" s="289"/>
      <c r="O173" s="121"/>
      <c r="P173" s="282"/>
      <c r="Q173" s="121"/>
      <c r="R173" s="282"/>
      <c r="S173" s="283"/>
      <c r="T173" s="283"/>
      <c r="U173" s="283"/>
      <c r="V173" s="283"/>
      <c r="W173" s="284"/>
      <c r="X173" s="285"/>
      <c r="Y173" s="286"/>
      <c r="Z173" s="287"/>
      <c r="AA173" s="118"/>
      <c r="AB173" s="287"/>
      <c r="AC173" s="288"/>
      <c r="AD173" s="287"/>
      <c r="AE173" s="288"/>
      <c r="AF173" s="287"/>
      <c r="AG173" s="753"/>
      <c r="AH173" s="287"/>
      <c r="AI173" s="287"/>
      <c r="AJ173" s="287"/>
      <c r="AK173" s="706"/>
      <c r="AM173" s="106"/>
      <c r="AN173" s="106"/>
    </row>
    <row r="174" spans="1:1026" ht="76.5">
      <c r="A174" s="80">
        <v>5</v>
      </c>
      <c r="B174" s="14" t="s">
        <v>16</v>
      </c>
      <c r="C174" s="14">
        <v>1</v>
      </c>
      <c r="D174" s="14" t="s">
        <v>16</v>
      </c>
      <c r="E174" s="15" t="s">
        <v>90</v>
      </c>
      <c r="F174" s="14" t="s">
        <v>16</v>
      </c>
      <c r="G174" s="81" t="s">
        <v>70</v>
      </c>
      <c r="H174" s="426" t="s">
        <v>204</v>
      </c>
      <c r="I174" s="396"/>
      <c r="J174" s="181"/>
      <c r="K174" s="396">
        <v>-30000</v>
      </c>
      <c r="L174" s="397"/>
      <c r="M174" s="396">
        <v>-30000</v>
      </c>
      <c r="N174" s="397"/>
      <c r="O174" s="427">
        <v>-30000</v>
      </c>
      <c r="P174" s="428">
        <v>-30000</v>
      </c>
      <c r="Q174" s="427">
        <v>0</v>
      </c>
      <c r="R174" s="428">
        <v>0</v>
      </c>
      <c r="S174" s="429">
        <v>0</v>
      </c>
      <c r="T174" s="429">
        <v>0</v>
      </c>
      <c r="U174" s="429"/>
      <c r="V174" s="429">
        <v>0</v>
      </c>
      <c r="W174" s="430"/>
      <c r="X174" s="431">
        <v>0</v>
      </c>
      <c r="Y174" s="286">
        <v>0</v>
      </c>
      <c r="Z174" s="287">
        <v>0</v>
      </c>
      <c r="AA174" s="118">
        <v>0</v>
      </c>
      <c r="AB174" s="287">
        <v>0</v>
      </c>
      <c r="AC174" s="288">
        <v>0</v>
      </c>
      <c r="AD174" s="287">
        <v>0</v>
      </c>
      <c r="AE174" s="288"/>
      <c r="AF174" s="287">
        <v>0</v>
      </c>
      <c r="AG174" s="753"/>
      <c r="AH174" s="287">
        <v>0</v>
      </c>
      <c r="AI174" s="287">
        <v>0</v>
      </c>
      <c r="AJ174" s="287">
        <v>0</v>
      </c>
      <c r="AK174" s="700" t="s">
        <v>205</v>
      </c>
      <c r="AM174" s="106"/>
      <c r="AN174" s="106"/>
    </row>
    <row r="175" spans="1:1026" ht="51">
      <c r="A175" s="80"/>
      <c r="B175" s="14"/>
      <c r="C175" s="14"/>
      <c r="D175" s="14"/>
      <c r="E175" s="15"/>
      <c r="F175" s="14"/>
      <c r="G175" s="81"/>
      <c r="H175" s="251"/>
      <c r="I175" s="281"/>
      <c r="J175" s="289"/>
      <c r="K175" s="281"/>
      <c r="L175" s="289"/>
      <c r="M175" s="281"/>
      <c r="N175" s="289"/>
      <c r="O175" s="121"/>
      <c r="P175" s="282"/>
      <c r="Q175" s="121"/>
      <c r="R175" s="282"/>
      <c r="S175" s="283"/>
      <c r="T175" s="283"/>
      <c r="U175" s="283"/>
      <c r="V175" s="283"/>
      <c r="W175" s="284"/>
      <c r="X175" s="285"/>
      <c r="Y175" s="286"/>
      <c r="Z175" s="287"/>
      <c r="AA175" s="118"/>
      <c r="AB175" s="287"/>
      <c r="AC175" s="288"/>
      <c r="AD175" s="287"/>
      <c r="AE175" s="288"/>
      <c r="AF175" s="287"/>
      <c r="AG175" s="753"/>
      <c r="AH175" s="287"/>
      <c r="AI175" s="287"/>
      <c r="AJ175" s="287"/>
      <c r="AK175" s="706" t="s">
        <v>206</v>
      </c>
      <c r="AM175" s="106"/>
      <c r="AN175" s="106"/>
    </row>
    <row r="176" spans="1:1026">
      <c r="A176" s="80"/>
      <c r="B176" s="14"/>
      <c r="C176" s="14"/>
      <c r="D176" s="14"/>
      <c r="E176" s="15"/>
      <c r="F176" s="14"/>
      <c r="G176" s="81"/>
      <c r="H176" s="251"/>
      <c r="I176" s="281"/>
      <c r="J176" s="289"/>
      <c r="K176" s="281"/>
      <c r="L176" s="289"/>
      <c r="M176" s="95"/>
      <c r="N176" s="95"/>
      <c r="O176" s="121"/>
      <c r="P176" s="282"/>
      <c r="Q176" s="121"/>
      <c r="R176" s="282"/>
      <c r="S176" s="283"/>
      <c r="T176" s="283"/>
      <c r="U176" s="283"/>
      <c r="V176" s="283"/>
      <c r="W176" s="284"/>
      <c r="X176" s="285"/>
      <c r="Y176" s="286"/>
      <c r="Z176" s="287"/>
      <c r="AA176" s="118"/>
      <c r="AB176" s="287"/>
      <c r="AC176" s="288"/>
      <c r="AD176" s="287"/>
      <c r="AE176" s="288"/>
      <c r="AF176" s="287"/>
      <c r="AG176" s="753"/>
      <c r="AH176" s="287"/>
      <c r="AI176" s="287"/>
      <c r="AJ176" s="287"/>
      <c r="AK176" s="706"/>
      <c r="AM176" s="106"/>
      <c r="AN176" s="106"/>
    </row>
    <row r="177" spans="1:1026">
      <c r="A177" s="222"/>
      <c r="B177" s="678"/>
      <c r="C177" s="678"/>
      <c r="D177" s="678"/>
      <c r="E177" s="681"/>
      <c r="F177" s="678"/>
      <c r="G177" s="223"/>
      <c r="H177" s="224" t="s">
        <v>207</v>
      </c>
      <c r="I177" s="432">
        <f>SUM(I50,I58,I63,I69,I75,I82,I89,I95,I101,I107,I137,I151,I172,I119,I113,I43)</f>
        <v>526244</v>
      </c>
      <c r="J177" s="433">
        <f>SUM(J50,J58,J63,J69,J75,J82,J89,J95,J101,J107,J137,J151,J172,J119,J113,J43)</f>
        <v>479751.84</v>
      </c>
      <c r="K177" s="432">
        <f>SUM(K43,K58,K63,K69,K75,K82,K89,K95,K101,K107,K113,K119,K137,K151,K172,K174,K50)</f>
        <v>511700</v>
      </c>
      <c r="L177" s="433">
        <f>SUM(L43,L58,L50,L113,L119,L63,L69,L75,L82,L89,L95,L101,L107,L137,L151,L172)</f>
        <v>318256.19999999995</v>
      </c>
      <c r="M177" s="432">
        <f>SUM(M43,M50,M58,M63,M69,M75,M82,M89,M95,M101,M107,M113,M119,M137,M151,M172)+M174</f>
        <v>504600</v>
      </c>
      <c r="N177" s="433">
        <f>SUM(N43,N50,N58,N63,N69,N75,N82,N89,N95,N101,N107,N113,N119,N137,N151,N172)+N174</f>
        <v>453804.48</v>
      </c>
      <c r="O177" s="434">
        <f>SUM(O43,O58,O50,O63,O69,O75,O82,O89,O95,O101,O107,O113,O119,O137,O151,O172,O174)</f>
        <v>529200</v>
      </c>
      <c r="P177" s="233">
        <f>SUM(P43,P58,P50,P63,P69,P75,P82,P89,P95,P101,P107,P113,P119,P137,P151,P172,P174)</f>
        <v>261992.58999999997</v>
      </c>
      <c r="Q177" s="434">
        <v>539167.53</v>
      </c>
      <c r="R177" s="233">
        <f>SUM(R43,R58,R50,R63,R69,R75,R82,R89,R95,R101,R107,R113,R119,R137,R151,R172,R174)</f>
        <v>398435.88999999996</v>
      </c>
      <c r="S177" s="435">
        <f>SUM(S43,S58,S50,S63,S69,S75,S82,S89,S95,S101,S107,S113,S119,S137,S151,S172,S174)</f>
        <v>609470</v>
      </c>
      <c r="T177" s="435">
        <f>SUM(T43,T58,T50,T63,T69,T75,T82,T89,T95,T101,T107,T113,T119,T137,T151,T172,T174)</f>
        <v>609470</v>
      </c>
      <c r="U177" s="435"/>
      <c r="V177" s="435">
        <f t="shared" ref="V177:AH177" si="70">SUM(V43,V58,V50,V63,V69,V75,V82,V89,V95,V101,V107,V113,V119,V137,V151,V172,V174)</f>
        <v>15018134.4</v>
      </c>
      <c r="W177" s="436">
        <f t="shared" si="70"/>
        <v>-357372.03</v>
      </c>
      <c r="X177" s="437">
        <f t="shared" si="70"/>
        <v>607060</v>
      </c>
      <c r="Y177" s="438">
        <f t="shared" si="70"/>
        <v>-206244.16000000003</v>
      </c>
      <c r="Z177" s="437">
        <f t="shared" si="70"/>
        <v>653150</v>
      </c>
      <c r="AA177" s="437">
        <f t="shared" si="70"/>
        <v>-621377.01</v>
      </c>
      <c r="AB177" s="437">
        <f t="shared" si="70"/>
        <v>759840</v>
      </c>
      <c r="AC177" s="439">
        <f t="shared" si="70"/>
        <v>-618351.75000000012</v>
      </c>
      <c r="AD177" s="437">
        <f t="shared" si="70"/>
        <v>786260</v>
      </c>
      <c r="AE177" s="437">
        <f t="shared" si="70"/>
        <v>-792902.81</v>
      </c>
      <c r="AF177" s="437">
        <f t="shared" si="70"/>
        <v>891114</v>
      </c>
      <c r="AG177" s="437">
        <f t="shared" si="70"/>
        <v>-358580.89</v>
      </c>
      <c r="AH177" s="437">
        <f t="shared" si="70"/>
        <v>904534</v>
      </c>
      <c r="AI177" s="437">
        <f t="shared" ref="AI177" si="71">SUM(AI43,AI58,AI50,AI63,AI69,AI75,AI82,AI89,AI95,AI101,AI107,AI113,AI119,AI137,AI151,AI172,AI174)</f>
        <v>927640</v>
      </c>
      <c r="AJ177" s="437">
        <f>SUM(AJ43,AJ58,AJ50,AJ63,AJ69,AJ75,AJ82,AJ89,AJ95,AJ101,AJ107,AJ113,AJ119,AJ137,AJ151,AJ172,AJ174)</f>
        <v>926676</v>
      </c>
      <c r="AK177" s="708"/>
      <c r="AM177" s="106"/>
      <c r="AN177" s="106"/>
    </row>
    <row r="178" spans="1:1026">
      <c r="A178" s="235">
        <v>5</v>
      </c>
      <c r="B178" s="682" t="s">
        <v>16</v>
      </c>
      <c r="C178" s="682">
        <v>2</v>
      </c>
      <c r="D178" s="682" t="s">
        <v>16</v>
      </c>
      <c r="E178" s="683" t="s">
        <v>70</v>
      </c>
      <c r="F178" s="682" t="s">
        <v>16</v>
      </c>
      <c r="G178" s="236" t="s">
        <v>70</v>
      </c>
      <c r="H178" s="55" t="s">
        <v>28</v>
      </c>
      <c r="I178" s="440">
        <v>85000</v>
      </c>
      <c r="J178" s="57">
        <v>80277.05</v>
      </c>
      <c r="K178" s="440"/>
      <c r="L178" s="57"/>
      <c r="M178" s="440"/>
      <c r="N178" s="441"/>
      <c r="O178" s="442"/>
      <c r="P178" s="443"/>
      <c r="Q178" s="444"/>
      <c r="R178" s="443"/>
      <c r="S178" s="445"/>
      <c r="T178" s="445"/>
      <c r="U178" s="445"/>
      <c r="V178" s="445"/>
      <c r="W178" s="446"/>
      <c r="X178" s="447"/>
      <c r="Y178" s="448"/>
      <c r="Z178" s="449"/>
      <c r="AA178" s="449"/>
      <c r="AB178" s="449"/>
      <c r="AC178" s="450"/>
      <c r="AD178" s="449"/>
      <c r="AE178" s="450"/>
      <c r="AF178" s="449"/>
      <c r="AG178" s="672"/>
      <c r="AH178" s="449"/>
      <c r="AI178" s="449"/>
      <c r="AJ178" s="449"/>
      <c r="AK178" s="451"/>
      <c r="AM178" s="106"/>
      <c r="AN178" s="106"/>
    </row>
    <row r="179" spans="1:1026">
      <c r="A179" s="66">
        <v>5</v>
      </c>
      <c r="B179" s="67" t="s">
        <v>16</v>
      </c>
      <c r="C179" s="67">
        <v>2</v>
      </c>
      <c r="D179" s="67" t="s">
        <v>16</v>
      </c>
      <c r="E179" s="68" t="s">
        <v>81</v>
      </c>
      <c r="F179" s="67" t="s">
        <v>16</v>
      </c>
      <c r="G179" s="69" t="s">
        <v>70</v>
      </c>
      <c r="H179" s="238" t="s">
        <v>108</v>
      </c>
      <c r="I179" s="203"/>
      <c r="J179" s="204"/>
      <c r="K179" s="203">
        <v>1000</v>
      </c>
      <c r="L179" s="452">
        <v>1608.15</v>
      </c>
      <c r="M179" s="203">
        <v>1600</v>
      </c>
      <c r="N179" s="204">
        <v>1999.77</v>
      </c>
      <c r="O179" s="205">
        <v>2000</v>
      </c>
      <c r="P179" s="183">
        <v>554.49</v>
      </c>
      <c r="Q179" s="205">
        <v>2000</v>
      </c>
      <c r="R179" s="183">
        <v>1032.3900000000001</v>
      </c>
      <c r="S179" s="184">
        <v>2000</v>
      </c>
      <c r="T179" s="184">
        <v>2000</v>
      </c>
      <c r="U179" s="184"/>
      <c r="V179" s="184">
        <v>2000</v>
      </c>
      <c r="W179" s="185">
        <v>-1082.6099999999999</v>
      </c>
      <c r="X179" s="186">
        <v>2000</v>
      </c>
      <c r="Y179" s="187">
        <v>-312.29000000000002</v>
      </c>
      <c r="Z179" s="188">
        <v>2000</v>
      </c>
      <c r="AA179" s="362">
        <v>-887.26</v>
      </c>
      <c r="AB179" s="188">
        <v>2000</v>
      </c>
      <c r="AC179" s="362">
        <v>-887.26</v>
      </c>
      <c r="AD179" s="188">
        <v>2000</v>
      </c>
      <c r="AE179" s="362">
        <v>-1707.75</v>
      </c>
      <c r="AF179" s="188">
        <v>2000</v>
      </c>
      <c r="AG179" s="38">
        <v>-450.7</v>
      </c>
      <c r="AH179" s="188">
        <v>2000</v>
      </c>
      <c r="AI179" s="188">
        <v>2000</v>
      </c>
      <c r="AJ179" s="188">
        <v>2000</v>
      </c>
      <c r="AM179" s="106"/>
      <c r="AN179" s="106"/>
    </row>
    <row r="180" spans="1:1026">
      <c r="A180" s="80"/>
      <c r="B180" s="14"/>
      <c r="C180" s="14"/>
      <c r="D180" s="14"/>
      <c r="E180" s="15"/>
      <c r="F180" s="14"/>
      <c r="G180" s="81"/>
      <c r="H180" s="250"/>
      <c r="I180" s="83"/>
      <c r="J180" s="84"/>
      <c r="K180" s="83"/>
      <c r="L180" s="84"/>
      <c r="M180" s="83"/>
      <c r="N180" s="84"/>
      <c r="O180" s="85"/>
      <c r="P180" s="86"/>
      <c r="Q180" s="85"/>
      <c r="R180" s="86"/>
      <c r="S180" s="87"/>
      <c r="T180" s="87"/>
      <c r="U180" s="87"/>
      <c r="V180" s="87"/>
      <c r="W180" s="88"/>
      <c r="X180" s="89"/>
      <c r="Y180" s="90"/>
      <c r="Z180" s="91"/>
      <c r="AA180" s="92"/>
      <c r="AB180" s="91"/>
      <c r="AC180" s="92"/>
      <c r="AD180" s="91"/>
      <c r="AE180" s="92"/>
      <c r="AF180" s="91"/>
      <c r="AG180" s="744"/>
      <c r="AH180" s="91"/>
      <c r="AI180" s="91"/>
      <c r="AJ180" s="91"/>
      <c r="AK180" s="723"/>
      <c r="AM180" s="106"/>
      <c r="AN180" s="106"/>
    </row>
    <row r="181" spans="1:1026">
      <c r="A181" s="66">
        <v>5</v>
      </c>
      <c r="B181" s="67" t="s">
        <v>16</v>
      </c>
      <c r="C181" s="67">
        <v>2</v>
      </c>
      <c r="D181" s="67" t="s">
        <v>16</v>
      </c>
      <c r="E181" s="68" t="s">
        <v>84</v>
      </c>
      <c r="F181" s="67" t="s">
        <v>16</v>
      </c>
      <c r="G181" s="69" t="s">
        <v>70</v>
      </c>
      <c r="H181" s="238" t="s">
        <v>208</v>
      </c>
      <c r="I181" s="203"/>
      <c r="J181" s="204"/>
      <c r="K181" s="203"/>
      <c r="L181" s="204"/>
      <c r="M181" s="203"/>
      <c r="N181" s="204"/>
      <c r="O181" s="205"/>
      <c r="P181" s="204"/>
      <c r="Q181" s="205"/>
      <c r="R181" s="204"/>
      <c r="S181" s="207"/>
      <c r="T181" s="207"/>
      <c r="U181" s="207"/>
      <c r="V181" s="207"/>
      <c r="W181" s="208"/>
      <c r="X181" s="453"/>
      <c r="Y181" s="210"/>
      <c r="Z181" s="454"/>
      <c r="AA181" s="362"/>
      <c r="AB181" s="454"/>
      <c r="AC181" s="362"/>
      <c r="AD181" s="454"/>
      <c r="AE181" s="362"/>
      <c r="AF181" s="454"/>
      <c r="AH181" s="454"/>
      <c r="AI181" s="454"/>
      <c r="AJ181" s="454"/>
      <c r="AK181" s="724"/>
      <c r="AM181" s="106"/>
      <c r="AN181" s="106"/>
    </row>
    <row r="182" spans="1:1026">
      <c r="A182" s="80">
        <v>5</v>
      </c>
      <c r="B182" s="14" t="s">
        <v>16</v>
      </c>
      <c r="C182" s="14">
        <v>2</v>
      </c>
      <c r="D182" s="14" t="s">
        <v>16</v>
      </c>
      <c r="E182" s="15" t="s">
        <v>84</v>
      </c>
      <c r="F182" s="14" t="s">
        <v>16</v>
      </c>
      <c r="G182" s="81" t="s">
        <v>81</v>
      </c>
      <c r="H182" s="250" t="s">
        <v>209</v>
      </c>
      <c r="I182" s="83"/>
      <c r="J182" s="84"/>
      <c r="K182" s="83">
        <v>26000</v>
      </c>
      <c r="L182" s="84">
        <v>16193.94</v>
      </c>
      <c r="M182" s="83">
        <v>26000</v>
      </c>
      <c r="N182" s="84">
        <v>21528</v>
      </c>
      <c r="O182" s="85">
        <v>26000</v>
      </c>
      <c r="P182" s="84">
        <v>13753.98</v>
      </c>
      <c r="Q182" s="85">
        <v>25000</v>
      </c>
      <c r="R182" s="84">
        <v>19733.97</v>
      </c>
      <c r="S182" s="87">
        <v>26000</v>
      </c>
      <c r="T182" s="87">
        <v>26000</v>
      </c>
      <c r="U182" s="87">
        <v>-13953.31</v>
      </c>
      <c r="V182" s="87">
        <f t="shared" ref="V182:V189" si="72">T182</f>
        <v>26000</v>
      </c>
      <c r="W182" s="88">
        <v>-17939.97</v>
      </c>
      <c r="X182" s="85">
        <f>ROUNDUP(1993.33*1.2*13,-2)</f>
        <v>31100</v>
      </c>
      <c r="Y182" s="90">
        <v>-11375.28</v>
      </c>
      <c r="Z182" s="455">
        <f>ROUNDUP(27.6*52/12*13*20,-2)</f>
        <v>31100</v>
      </c>
      <c r="AA182" s="362">
        <v>-28687.83</v>
      </c>
      <c r="AB182" s="455">
        <f>ROUNDUP(27.6*52/12*13*20,-2)</f>
        <v>31100</v>
      </c>
      <c r="AC182" s="362">
        <v>-28687.83</v>
      </c>
      <c r="AD182" s="455">
        <f>ROUNDUP(27.6*52/12*13*20,-2)</f>
        <v>31100</v>
      </c>
      <c r="AE182" s="362">
        <v>-30189.51</v>
      </c>
      <c r="AF182" s="455">
        <f>ROUNDUP(27.6*52/12*13*20,-2)</f>
        <v>31100</v>
      </c>
      <c r="AG182" s="38">
        <v>-15492.19</v>
      </c>
      <c r="AH182" s="455">
        <f>ROUNDUP(27.6*52/12*13*20,-2)</f>
        <v>31100</v>
      </c>
      <c r="AI182" s="455">
        <f>ROUNDUP(27.6*52/12*13*20,-2)</f>
        <v>31100</v>
      </c>
      <c r="AJ182" s="455">
        <f>ROUNDUP(27.6*52/12*13*20,-2)</f>
        <v>31100</v>
      </c>
      <c r="AK182" s="725"/>
      <c r="AM182" s="106"/>
      <c r="AN182" s="106"/>
    </row>
    <row r="183" spans="1:1026">
      <c r="A183" s="80">
        <v>5</v>
      </c>
      <c r="B183" s="14" t="s">
        <v>16</v>
      </c>
      <c r="C183" s="14">
        <v>2</v>
      </c>
      <c r="D183" s="14" t="s">
        <v>16</v>
      </c>
      <c r="E183" s="15" t="s">
        <v>84</v>
      </c>
      <c r="F183" s="14" t="s">
        <v>16</v>
      </c>
      <c r="G183" s="81" t="s">
        <v>84</v>
      </c>
      <c r="H183" s="251" t="s">
        <v>210</v>
      </c>
      <c r="I183" s="94"/>
      <c r="J183" s="95"/>
      <c r="K183" s="94">
        <v>4000</v>
      </c>
      <c r="L183" s="95">
        <v>4271.25</v>
      </c>
      <c r="M183" s="94">
        <v>8400</v>
      </c>
      <c r="N183" s="95">
        <v>6671.25</v>
      </c>
      <c r="O183" s="96">
        <v>6000</v>
      </c>
      <c r="P183" s="95">
        <v>4545</v>
      </c>
      <c r="Q183" s="96">
        <v>7000</v>
      </c>
      <c r="R183" s="95">
        <v>7065</v>
      </c>
      <c r="S183" s="99">
        <v>7000</v>
      </c>
      <c r="T183" s="99">
        <v>7000</v>
      </c>
      <c r="U183" s="99">
        <v>-3990</v>
      </c>
      <c r="V183" s="87">
        <f t="shared" si="72"/>
        <v>7000</v>
      </c>
      <c r="W183" s="88">
        <v>-4890</v>
      </c>
      <c r="X183" s="96">
        <f>ROUNDUP(450/15*18*12,-2)</f>
        <v>6500</v>
      </c>
      <c r="Y183" s="102">
        <v>-3890</v>
      </c>
      <c r="Z183" s="101">
        <f>ROUNDUP(450/15*18*12,-2)</f>
        <v>6500</v>
      </c>
      <c r="AA183" s="296">
        <v>-7614</v>
      </c>
      <c r="AB183" s="101">
        <f>ROUNDUP(450/15*18*12,-2)</f>
        <v>6500</v>
      </c>
      <c r="AC183" s="296">
        <v>-7614</v>
      </c>
      <c r="AD183" s="101">
        <f>ROUNDUP(450/15*18*12,-2)</f>
        <v>6500</v>
      </c>
      <c r="AE183" s="296">
        <v>-8301</v>
      </c>
      <c r="AF183" s="101">
        <f>ROUNDUP(450/15*18*12,-2)</f>
        <v>6500</v>
      </c>
      <c r="AG183" s="674">
        <v>-5184</v>
      </c>
      <c r="AH183" s="101">
        <f>ROUNDUP(450/15*18*12,-2)</f>
        <v>6500</v>
      </c>
      <c r="AI183" s="101">
        <f>ROUNDUP(450/15*18*12,-2)</f>
        <v>6500</v>
      </c>
      <c r="AJ183" s="101">
        <f>ROUNDUP(450/15*18*12,-2)</f>
        <v>6500</v>
      </c>
      <c r="AK183" s="726"/>
      <c r="AM183" s="106"/>
      <c r="AN183" s="106"/>
    </row>
    <row r="184" spans="1:1026">
      <c r="A184" s="249">
        <v>5</v>
      </c>
      <c r="B184" s="685" t="s">
        <v>16</v>
      </c>
      <c r="C184" s="685">
        <v>2</v>
      </c>
      <c r="D184" s="685" t="s">
        <v>16</v>
      </c>
      <c r="E184" s="686" t="s">
        <v>84</v>
      </c>
      <c r="F184" s="685" t="s">
        <v>16</v>
      </c>
      <c r="G184" s="686" t="s">
        <v>86</v>
      </c>
      <c r="H184" s="251" t="s">
        <v>211</v>
      </c>
      <c r="I184" s="122"/>
      <c r="J184" s="123"/>
      <c r="K184" s="122">
        <v>5000</v>
      </c>
      <c r="L184" s="123">
        <v>4200</v>
      </c>
      <c r="M184" s="122">
        <v>5000</v>
      </c>
      <c r="N184" s="123">
        <v>5547.4</v>
      </c>
      <c r="O184" s="98">
        <v>5000</v>
      </c>
      <c r="P184" s="123">
        <v>3750</v>
      </c>
      <c r="Q184" s="98">
        <v>7500</v>
      </c>
      <c r="R184" s="123">
        <v>5550</v>
      </c>
      <c r="S184" s="125">
        <v>7500</v>
      </c>
      <c r="T184" s="125">
        <v>7500</v>
      </c>
      <c r="U184" s="125">
        <v>-4050</v>
      </c>
      <c r="V184" s="87">
        <f t="shared" si="72"/>
        <v>7500</v>
      </c>
      <c r="W184" s="88">
        <v>-5134</v>
      </c>
      <c r="X184" s="85">
        <f>ROUNDUP(600/15*18*12,-2)</f>
        <v>8700</v>
      </c>
      <c r="Y184" s="90">
        <v>-3313.26</v>
      </c>
      <c r="Z184" s="89">
        <f>ROUNDUP(600/15*18*12,-2)</f>
        <v>8700</v>
      </c>
      <c r="AA184" s="296">
        <v>-8298.32</v>
      </c>
      <c r="AB184" s="89">
        <f>ROUNDUP(600/15*18*12,-2)</f>
        <v>8700</v>
      </c>
      <c r="AC184" s="296">
        <v>-8298.32</v>
      </c>
      <c r="AD184" s="89">
        <f>ROUNDUP(600/15*18*12,-2)</f>
        <v>8700</v>
      </c>
      <c r="AE184" s="296">
        <v>-8380.26</v>
      </c>
      <c r="AF184" s="89">
        <f>ROUNDUP(600/15*18*12,-2)</f>
        <v>8700</v>
      </c>
      <c r="AG184" s="674">
        <v>-4359</v>
      </c>
      <c r="AH184" s="89">
        <f>ROUNDUP(600/15*18*12,-2)</f>
        <v>8700</v>
      </c>
      <c r="AI184" s="89">
        <f>ROUNDUP(600/15*18*12,-2)</f>
        <v>8700</v>
      </c>
      <c r="AJ184" s="89">
        <f>ROUNDUP(600/15*18*12,-2)</f>
        <v>8700</v>
      </c>
      <c r="AK184" s="726"/>
      <c r="AM184" s="106"/>
      <c r="AN184" s="106"/>
    </row>
    <row r="185" spans="1:1026">
      <c r="A185" s="249">
        <v>5</v>
      </c>
      <c r="B185" s="685" t="s">
        <v>16</v>
      </c>
      <c r="C185" s="685">
        <v>2</v>
      </c>
      <c r="D185" s="685" t="s">
        <v>16</v>
      </c>
      <c r="E185" s="686" t="s">
        <v>84</v>
      </c>
      <c r="F185" s="685" t="s">
        <v>16</v>
      </c>
      <c r="G185" s="686" t="s">
        <v>73</v>
      </c>
      <c r="H185" s="251" t="s">
        <v>212</v>
      </c>
      <c r="I185" s="122"/>
      <c r="J185" s="123"/>
      <c r="K185" s="122">
        <v>27500</v>
      </c>
      <c r="L185" s="123">
        <v>17568.48</v>
      </c>
      <c r="M185" s="122">
        <v>27500</v>
      </c>
      <c r="N185" s="123">
        <v>23466.85</v>
      </c>
      <c r="O185" s="98">
        <v>27500</v>
      </c>
      <c r="P185" s="123">
        <v>19430</v>
      </c>
      <c r="Q185" s="98">
        <v>30500</v>
      </c>
      <c r="R185" s="123">
        <v>26905</v>
      </c>
      <c r="S185" s="125">
        <v>30500</v>
      </c>
      <c r="T185" s="125">
        <v>30500</v>
      </c>
      <c r="U185" s="125">
        <v>-12959</v>
      </c>
      <c r="V185" s="87">
        <f t="shared" si="72"/>
        <v>30500</v>
      </c>
      <c r="W185" s="35">
        <v>-16881</v>
      </c>
      <c r="X185" s="456">
        <f>ROUNDUP(18*4.35*((5*6)+1.5)*12*1.025,-3)</f>
        <v>31000</v>
      </c>
      <c r="Y185" s="457">
        <v>-10975.54</v>
      </c>
      <c r="Z185" s="456">
        <f>ROUNDUP(18*4.35*((5*6)+1.5)*12*1.025,-3)</f>
        <v>31000</v>
      </c>
      <c r="AA185" s="296">
        <v>-25145</v>
      </c>
      <c r="AB185" s="456">
        <f>ROUNDUP(18*4.35*((5*6)+1.5)*12*1.025,-3)</f>
        <v>31000</v>
      </c>
      <c r="AC185" s="296">
        <v>-25145</v>
      </c>
      <c r="AD185" s="456">
        <f>ROUNDUP(18*4.35*((5*6)+1.5)*12*1.025,-3)</f>
        <v>31000</v>
      </c>
      <c r="AE185" s="296">
        <v>-28597.18</v>
      </c>
      <c r="AF185" s="456">
        <f>ROUNDUP(18*4.35*((5*6)+1.5)*12*1.025,-3)</f>
        <v>31000</v>
      </c>
      <c r="AG185" s="674">
        <v>-18772.97</v>
      </c>
      <c r="AH185" s="456">
        <f t="shared" ref="AH185:AJ186" si="73">ROUNDUP(18*4.35*((5*6)+1.5)*12*1.025,-3)</f>
        <v>31000</v>
      </c>
      <c r="AI185" s="456">
        <f t="shared" si="73"/>
        <v>31000</v>
      </c>
      <c r="AJ185" s="456">
        <f t="shared" si="73"/>
        <v>31000</v>
      </c>
      <c r="AK185" s="726"/>
      <c r="AM185" s="106"/>
      <c r="AN185" s="106"/>
    </row>
    <row r="186" spans="1:1026">
      <c r="A186" s="249">
        <v>5</v>
      </c>
      <c r="B186" s="685" t="s">
        <v>16</v>
      </c>
      <c r="C186" s="685">
        <v>2</v>
      </c>
      <c r="D186" s="685" t="s">
        <v>16</v>
      </c>
      <c r="E186" s="686" t="s">
        <v>84</v>
      </c>
      <c r="F186" s="685" t="s">
        <v>16</v>
      </c>
      <c r="G186" s="686" t="s">
        <v>77</v>
      </c>
      <c r="H186" s="251" t="s">
        <v>213</v>
      </c>
      <c r="I186" s="122"/>
      <c r="J186" s="123"/>
      <c r="K186" s="122">
        <v>27500</v>
      </c>
      <c r="L186" s="123">
        <v>22056.58</v>
      </c>
      <c r="M186" s="122">
        <v>27500</v>
      </c>
      <c r="N186" s="123">
        <v>28475.88</v>
      </c>
      <c r="O186" s="98">
        <v>27500</v>
      </c>
      <c r="P186" s="123">
        <v>14683.33</v>
      </c>
      <c r="Q186" s="98">
        <v>23000</v>
      </c>
      <c r="R186" s="123">
        <v>21825</v>
      </c>
      <c r="S186" s="125">
        <v>25000</v>
      </c>
      <c r="T186" s="125">
        <v>25000</v>
      </c>
      <c r="U186" s="125">
        <v>-15268.5</v>
      </c>
      <c r="V186" s="87">
        <f t="shared" si="72"/>
        <v>25000</v>
      </c>
      <c r="W186" s="35">
        <v>-19003.5</v>
      </c>
      <c r="X186" s="458">
        <f>ROUNDUP(18*4.35*((5*6)+1.5)*12*1.025,-3)</f>
        <v>31000</v>
      </c>
      <c r="Y186" s="37">
        <v>-11327.01</v>
      </c>
      <c r="Z186" s="458">
        <f>ROUNDUP(18*4.35*((5*6)+1.5)*12*1.025,-3)</f>
        <v>31000</v>
      </c>
      <c r="AA186" s="296">
        <v>-27834.29</v>
      </c>
      <c r="AB186" s="458">
        <f>ROUNDUP(18*4.35*((5*6)+1.5)*12*1.025,-3)</f>
        <v>31000</v>
      </c>
      <c r="AC186" s="296">
        <v>-27834.29</v>
      </c>
      <c r="AD186" s="458">
        <f>ROUNDUP(18*4.35*((5*6)+1.5)*12*1.025,-3)</f>
        <v>31000</v>
      </c>
      <c r="AE186" s="296">
        <v>-32300.66</v>
      </c>
      <c r="AF186" s="458">
        <f>ROUNDUP(18*4.35*((5*6)+1.5)*12*1.025,-3)</f>
        <v>31000</v>
      </c>
      <c r="AG186" s="674">
        <v>-14432.38</v>
      </c>
      <c r="AH186" s="458">
        <f t="shared" si="73"/>
        <v>31000</v>
      </c>
      <c r="AI186" s="458">
        <f t="shared" si="73"/>
        <v>31000</v>
      </c>
      <c r="AJ186" s="458">
        <f t="shared" si="73"/>
        <v>31000</v>
      </c>
      <c r="AK186" s="726"/>
      <c r="AM186" s="106"/>
      <c r="AN186" s="106"/>
    </row>
    <row r="187" spans="1:1026" s="902" customFormat="1">
      <c r="A187" s="1015">
        <v>5</v>
      </c>
      <c r="B187" s="1016" t="s">
        <v>16</v>
      </c>
      <c r="C187" s="1016">
        <v>2</v>
      </c>
      <c r="D187" s="1016" t="s">
        <v>16</v>
      </c>
      <c r="E187" s="1017" t="s">
        <v>84</v>
      </c>
      <c r="F187" s="1016" t="s">
        <v>16</v>
      </c>
      <c r="G187" s="1017" t="s">
        <v>118</v>
      </c>
      <c r="H187" s="886" t="s">
        <v>214</v>
      </c>
      <c r="I187" s="992"/>
      <c r="J187" s="928"/>
      <c r="K187" s="992">
        <v>3500</v>
      </c>
      <c r="L187" s="928">
        <v>2632.5</v>
      </c>
      <c r="M187" s="992">
        <v>3500</v>
      </c>
      <c r="N187" s="928">
        <v>3497.6</v>
      </c>
      <c r="O187" s="993">
        <v>3500</v>
      </c>
      <c r="P187" s="928">
        <v>2047.5</v>
      </c>
      <c r="Q187" s="993">
        <v>3500</v>
      </c>
      <c r="R187" s="928">
        <v>2925</v>
      </c>
      <c r="S187" s="995">
        <v>3500</v>
      </c>
      <c r="T187" s="995">
        <v>3500</v>
      </c>
      <c r="U187" s="995">
        <v>-2047.5</v>
      </c>
      <c r="V187" s="918">
        <f t="shared" si="72"/>
        <v>3500</v>
      </c>
      <c r="W187" s="948">
        <v>-2632.5</v>
      </c>
      <c r="X187" s="921">
        <f>ROUNDUP(292.5/15*18*12,-2)</f>
        <v>4300</v>
      </c>
      <c r="Y187" s="922">
        <v>-1170</v>
      </c>
      <c r="Z187" s="921">
        <f>ROUNDUP(292.5/15*18*12,-2)</f>
        <v>4300</v>
      </c>
      <c r="AA187" s="1018">
        <v>-1170</v>
      </c>
      <c r="AB187" s="921">
        <f>ROUNDUP(292.5/15*18*12,-2)</f>
        <v>4300</v>
      </c>
      <c r="AC187" s="1018">
        <v>-1170</v>
      </c>
      <c r="AD187" s="921">
        <f>ROUNDUP(292.5/15*18*12,-2)</f>
        <v>4300</v>
      </c>
      <c r="AE187" s="1018"/>
      <c r="AF187" s="921">
        <f>ROUNDUP(292.5/15*18*12,-2)</f>
        <v>4300</v>
      </c>
      <c r="AG187" s="924">
        <v>21.24</v>
      </c>
      <c r="AH187" s="921">
        <v>21.24</v>
      </c>
      <c r="AI187" s="921">
        <v>0</v>
      </c>
      <c r="AJ187" s="921">
        <v>0</v>
      </c>
      <c r="AK187" s="1019" t="s">
        <v>494</v>
      </c>
      <c r="AL187" s="899"/>
      <c r="AM187" s="900"/>
      <c r="AN187" s="900"/>
      <c r="AO187" s="901"/>
      <c r="AP187" s="901"/>
      <c r="AQ187" s="901"/>
      <c r="AR187" s="901"/>
      <c r="AS187" s="901"/>
      <c r="AT187" s="901"/>
      <c r="AU187" s="901"/>
      <c r="AV187" s="901"/>
      <c r="AW187" s="901"/>
      <c r="AX187" s="901"/>
      <c r="AY187" s="901"/>
      <c r="AZ187" s="901"/>
      <c r="BA187" s="901"/>
      <c r="BB187" s="901"/>
      <c r="BC187" s="901"/>
      <c r="BD187" s="901"/>
      <c r="BE187" s="901"/>
      <c r="BF187" s="901"/>
      <c r="BG187" s="901"/>
      <c r="BH187" s="901"/>
      <c r="BI187" s="901"/>
      <c r="BJ187" s="901"/>
      <c r="BK187" s="901"/>
      <c r="BL187" s="901"/>
      <c r="BM187" s="901"/>
      <c r="BN187" s="901"/>
      <c r="BO187" s="901"/>
      <c r="BP187" s="901"/>
      <c r="BQ187" s="901"/>
      <c r="BR187" s="901"/>
      <c r="BS187" s="901"/>
      <c r="BT187" s="901"/>
      <c r="BU187" s="901"/>
      <c r="BV187" s="901"/>
      <c r="BW187" s="901"/>
      <c r="BX187" s="901"/>
      <c r="BY187" s="901"/>
      <c r="BZ187" s="901"/>
      <c r="CA187" s="901"/>
      <c r="CB187" s="901"/>
      <c r="CC187" s="901"/>
      <c r="CD187" s="901"/>
      <c r="CE187" s="901"/>
      <c r="CF187" s="901"/>
      <c r="CG187" s="901"/>
      <c r="CH187" s="901"/>
      <c r="CI187" s="901"/>
      <c r="CJ187" s="901"/>
      <c r="CK187" s="901"/>
      <c r="CL187" s="901"/>
      <c r="CM187" s="901"/>
      <c r="CN187" s="901"/>
      <c r="CO187" s="901"/>
      <c r="CP187" s="901"/>
      <c r="CQ187" s="901"/>
      <c r="CR187" s="901"/>
      <c r="CS187" s="901"/>
      <c r="CT187" s="901"/>
      <c r="CU187" s="901"/>
      <c r="CV187" s="901"/>
      <c r="CW187" s="901"/>
      <c r="CX187" s="901"/>
      <c r="CY187" s="901"/>
      <c r="CZ187" s="901"/>
      <c r="DA187" s="901"/>
      <c r="DB187" s="901"/>
      <c r="DC187" s="901"/>
      <c r="DD187" s="901"/>
      <c r="DE187" s="901"/>
      <c r="DF187" s="901"/>
      <c r="DG187" s="901"/>
      <c r="DH187" s="901"/>
      <c r="DI187" s="901"/>
      <c r="DJ187" s="901"/>
      <c r="DK187" s="901"/>
      <c r="DL187" s="901"/>
      <c r="DM187" s="901"/>
      <c r="DN187" s="901"/>
      <c r="DO187" s="901"/>
      <c r="DP187" s="901"/>
      <c r="DQ187" s="901"/>
      <c r="DR187" s="901"/>
      <c r="DS187" s="901"/>
      <c r="DT187" s="901"/>
      <c r="DU187" s="901"/>
      <c r="DV187" s="901"/>
      <c r="DW187" s="901"/>
      <c r="DX187" s="901"/>
      <c r="DY187" s="901"/>
      <c r="DZ187" s="901"/>
      <c r="EA187" s="901"/>
      <c r="EB187" s="901"/>
      <c r="EC187" s="901"/>
      <c r="ED187" s="901"/>
      <c r="EE187" s="901"/>
      <c r="EF187" s="901"/>
      <c r="EG187" s="901"/>
      <c r="EH187" s="901"/>
      <c r="EI187" s="901"/>
      <c r="EJ187" s="901"/>
      <c r="EK187" s="901"/>
      <c r="EL187" s="901"/>
      <c r="EM187" s="901"/>
      <c r="EN187" s="901"/>
      <c r="EO187" s="901"/>
      <c r="EP187" s="901"/>
      <c r="EQ187" s="901"/>
      <c r="ER187" s="901"/>
      <c r="ES187" s="901"/>
      <c r="ET187" s="901"/>
      <c r="EU187" s="901"/>
      <c r="EV187" s="901"/>
      <c r="EW187" s="901"/>
      <c r="EX187" s="901"/>
      <c r="EY187" s="901"/>
      <c r="EZ187" s="901"/>
      <c r="FA187" s="901"/>
      <c r="FB187" s="901"/>
      <c r="FC187" s="901"/>
      <c r="FD187" s="901"/>
      <c r="FE187" s="901"/>
      <c r="FF187" s="901"/>
      <c r="FG187" s="901"/>
      <c r="FH187" s="901"/>
      <c r="FI187" s="901"/>
      <c r="FJ187" s="901"/>
      <c r="FK187" s="901"/>
      <c r="FL187" s="901"/>
      <c r="FM187" s="901"/>
      <c r="FN187" s="901"/>
      <c r="FO187" s="901"/>
      <c r="FP187" s="901"/>
      <c r="FQ187" s="901"/>
      <c r="FR187" s="901"/>
      <c r="FS187" s="901"/>
      <c r="FT187" s="901"/>
      <c r="FU187" s="901"/>
      <c r="FV187" s="901"/>
      <c r="FW187" s="901"/>
      <c r="FX187" s="901"/>
      <c r="FY187" s="901"/>
      <c r="FZ187" s="901"/>
      <c r="GA187" s="901"/>
      <c r="GB187" s="901"/>
      <c r="GC187" s="901"/>
      <c r="GD187" s="901"/>
      <c r="GE187" s="901"/>
      <c r="GF187" s="901"/>
      <c r="GG187" s="901"/>
      <c r="GH187" s="901"/>
      <c r="GI187" s="901"/>
      <c r="GJ187" s="901"/>
      <c r="GK187" s="901"/>
      <c r="GL187" s="901"/>
      <c r="GM187" s="901"/>
      <c r="GN187" s="901"/>
      <c r="GO187" s="901"/>
      <c r="GP187" s="901"/>
      <c r="GQ187" s="901"/>
      <c r="GR187" s="901"/>
      <c r="GS187" s="901"/>
      <c r="GT187" s="901"/>
      <c r="GU187" s="901"/>
      <c r="GV187" s="901"/>
      <c r="GW187" s="901"/>
      <c r="GX187" s="901"/>
      <c r="GY187" s="901"/>
      <c r="GZ187" s="901"/>
      <c r="HA187" s="901"/>
      <c r="HB187" s="901"/>
      <c r="HC187" s="901"/>
      <c r="HD187" s="901"/>
      <c r="HE187" s="901"/>
      <c r="HF187" s="901"/>
      <c r="HG187" s="901"/>
      <c r="HH187" s="901"/>
      <c r="HI187" s="901"/>
      <c r="HJ187" s="901"/>
      <c r="HK187" s="901"/>
      <c r="HL187" s="901"/>
      <c r="HM187" s="901"/>
      <c r="HN187" s="901"/>
      <c r="HO187" s="901"/>
      <c r="HP187" s="901"/>
      <c r="HQ187" s="901"/>
      <c r="HR187" s="901"/>
      <c r="HS187" s="901"/>
      <c r="HT187" s="901"/>
      <c r="HU187" s="901"/>
      <c r="HV187" s="901"/>
      <c r="HW187" s="901"/>
      <c r="HX187" s="901"/>
      <c r="HY187" s="901"/>
      <c r="HZ187" s="901"/>
      <c r="IA187" s="901"/>
      <c r="IB187" s="901"/>
      <c r="IC187" s="901"/>
      <c r="ID187" s="901"/>
      <c r="IE187" s="901"/>
      <c r="IF187" s="901"/>
      <c r="IG187" s="901"/>
      <c r="IH187" s="901"/>
      <c r="II187" s="901"/>
      <c r="IJ187" s="901"/>
      <c r="IK187" s="901"/>
      <c r="IL187" s="901"/>
      <c r="IM187" s="901"/>
      <c r="IN187" s="901"/>
      <c r="IO187" s="901"/>
      <c r="IP187" s="901"/>
      <c r="IQ187" s="901"/>
      <c r="IR187" s="901"/>
      <c r="IS187" s="901"/>
      <c r="IT187" s="901"/>
      <c r="IU187" s="901"/>
      <c r="IV187" s="901"/>
      <c r="IW187" s="901"/>
      <c r="IX187" s="901"/>
      <c r="IY187" s="901"/>
      <c r="IZ187" s="901"/>
      <c r="JA187" s="901"/>
      <c r="JB187" s="901"/>
      <c r="JC187" s="901"/>
      <c r="JD187" s="901"/>
      <c r="JE187" s="901"/>
      <c r="JF187" s="901"/>
      <c r="JG187" s="901"/>
      <c r="JH187" s="901"/>
      <c r="JI187" s="901"/>
      <c r="JJ187" s="901"/>
      <c r="JK187" s="901"/>
      <c r="JL187" s="901"/>
      <c r="JM187" s="901"/>
      <c r="JN187" s="901"/>
      <c r="JO187" s="901"/>
      <c r="JP187" s="901"/>
      <c r="JQ187" s="901"/>
      <c r="JR187" s="901"/>
      <c r="JS187" s="901"/>
      <c r="JT187" s="901"/>
      <c r="JU187" s="901"/>
      <c r="JV187" s="901"/>
      <c r="JW187" s="901"/>
      <c r="JX187" s="901"/>
      <c r="JY187" s="901"/>
      <c r="JZ187" s="901"/>
      <c r="KA187" s="901"/>
      <c r="KB187" s="901"/>
      <c r="KC187" s="901"/>
      <c r="KD187" s="901"/>
      <c r="KE187" s="901"/>
      <c r="KF187" s="901"/>
      <c r="KG187" s="901"/>
      <c r="KH187" s="901"/>
      <c r="KI187" s="901"/>
      <c r="KJ187" s="901"/>
      <c r="KK187" s="901"/>
      <c r="KL187" s="901"/>
      <c r="KM187" s="901"/>
      <c r="KN187" s="901"/>
      <c r="KO187" s="901"/>
      <c r="KP187" s="901"/>
      <c r="KQ187" s="901"/>
      <c r="KR187" s="901"/>
      <c r="KS187" s="901"/>
      <c r="KT187" s="901"/>
      <c r="KU187" s="901"/>
      <c r="KV187" s="901"/>
      <c r="KW187" s="901"/>
      <c r="KX187" s="901"/>
      <c r="KY187" s="901"/>
      <c r="KZ187" s="901"/>
      <c r="LA187" s="901"/>
      <c r="LB187" s="901"/>
      <c r="LC187" s="901"/>
      <c r="LD187" s="901"/>
      <c r="LE187" s="901"/>
      <c r="LF187" s="901"/>
      <c r="LG187" s="901"/>
      <c r="LH187" s="901"/>
      <c r="LI187" s="901"/>
      <c r="LJ187" s="901"/>
      <c r="LK187" s="901"/>
      <c r="LL187" s="901"/>
      <c r="LM187" s="901"/>
      <c r="LN187" s="901"/>
      <c r="LO187" s="901"/>
      <c r="LP187" s="901"/>
      <c r="LQ187" s="901"/>
      <c r="LR187" s="901"/>
      <c r="LS187" s="901"/>
      <c r="LT187" s="901"/>
      <c r="LU187" s="901"/>
      <c r="LV187" s="901"/>
      <c r="LW187" s="901"/>
      <c r="LX187" s="901"/>
      <c r="LY187" s="901"/>
      <c r="LZ187" s="901"/>
      <c r="MA187" s="901"/>
      <c r="MB187" s="901"/>
      <c r="MC187" s="901"/>
      <c r="MD187" s="901"/>
      <c r="ME187" s="901"/>
      <c r="MF187" s="901"/>
      <c r="MG187" s="901"/>
      <c r="MH187" s="901"/>
      <c r="MI187" s="901"/>
      <c r="MJ187" s="901"/>
      <c r="MK187" s="901"/>
      <c r="ML187" s="901"/>
      <c r="MM187" s="901"/>
      <c r="MN187" s="901"/>
      <c r="MO187" s="901"/>
      <c r="MP187" s="901"/>
      <c r="MQ187" s="901"/>
      <c r="MR187" s="901"/>
      <c r="MS187" s="901"/>
      <c r="MT187" s="901"/>
      <c r="MU187" s="901"/>
      <c r="MV187" s="901"/>
      <c r="MW187" s="901"/>
      <c r="MX187" s="901"/>
      <c r="MY187" s="901"/>
      <c r="MZ187" s="901"/>
      <c r="NA187" s="901"/>
      <c r="NB187" s="901"/>
      <c r="NC187" s="901"/>
      <c r="ND187" s="901"/>
      <c r="NE187" s="901"/>
      <c r="NF187" s="901"/>
      <c r="NG187" s="901"/>
      <c r="NH187" s="901"/>
      <c r="NI187" s="901"/>
      <c r="NJ187" s="901"/>
      <c r="NK187" s="901"/>
      <c r="NL187" s="901"/>
      <c r="NM187" s="901"/>
      <c r="NN187" s="901"/>
      <c r="NO187" s="901"/>
      <c r="NP187" s="901"/>
      <c r="NQ187" s="901"/>
      <c r="NR187" s="901"/>
      <c r="NS187" s="901"/>
      <c r="NT187" s="901"/>
      <c r="NU187" s="901"/>
      <c r="NV187" s="901"/>
      <c r="NW187" s="901"/>
      <c r="NX187" s="901"/>
      <c r="NY187" s="901"/>
      <c r="NZ187" s="901"/>
      <c r="OA187" s="901"/>
      <c r="OB187" s="901"/>
      <c r="OC187" s="901"/>
      <c r="OD187" s="901"/>
      <c r="OE187" s="901"/>
      <c r="OF187" s="901"/>
      <c r="OG187" s="901"/>
      <c r="OH187" s="901"/>
      <c r="OI187" s="901"/>
      <c r="OJ187" s="901"/>
      <c r="OK187" s="901"/>
      <c r="OL187" s="901"/>
      <c r="OM187" s="901"/>
      <c r="ON187" s="901"/>
      <c r="OO187" s="901"/>
      <c r="OP187" s="901"/>
      <c r="OQ187" s="901"/>
      <c r="OR187" s="901"/>
      <c r="OS187" s="901"/>
      <c r="OT187" s="901"/>
      <c r="OU187" s="901"/>
      <c r="OV187" s="901"/>
      <c r="OW187" s="901"/>
      <c r="OX187" s="901"/>
      <c r="OY187" s="901"/>
      <c r="OZ187" s="901"/>
      <c r="PA187" s="901"/>
      <c r="PB187" s="901"/>
      <c r="PC187" s="901"/>
      <c r="PD187" s="901"/>
      <c r="PE187" s="901"/>
      <c r="PF187" s="901"/>
      <c r="PG187" s="901"/>
      <c r="PH187" s="901"/>
      <c r="PI187" s="901"/>
      <c r="PJ187" s="901"/>
      <c r="PK187" s="901"/>
      <c r="PL187" s="901"/>
      <c r="PM187" s="901"/>
      <c r="PN187" s="901"/>
      <c r="PO187" s="901"/>
      <c r="PP187" s="901"/>
      <c r="PQ187" s="901"/>
      <c r="PR187" s="901"/>
      <c r="PS187" s="901"/>
      <c r="PT187" s="901"/>
      <c r="PU187" s="901"/>
      <c r="PV187" s="901"/>
      <c r="PW187" s="901"/>
      <c r="PX187" s="901"/>
      <c r="PY187" s="901"/>
      <c r="PZ187" s="901"/>
      <c r="QA187" s="901"/>
      <c r="QB187" s="901"/>
      <c r="QC187" s="901"/>
      <c r="QD187" s="901"/>
      <c r="QE187" s="901"/>
      <c r="QF187" s="901"/>
      <c r="QG187" s="901"/>
      <c r="QH187" s="901"/>
      <c r="QI187" s="901"/>
      <c r="QJ187" s="901"/>
      <c r="QK187" s="901"/>
      <c r="QL187" s="901"/>
      <c r="QM187" s="901"/>
      <c r="QN187" s="901"/>
      <c r="QO187" s="901"/>
      <c r="QP187" s="901"/>
      <c r="QQ187" s="901"/>
      <c r="QR187" s="901"/>
      <c r="QS187" s="901"/>
      <c r="QT187" s="901"/>
      <c r="QU187" s="901"/>
      <c r="QV187" s="901"/>
      <c r="QW187" s="901"/>
      <c r="QX187" s="901"/>
      <c r="QY187" s="901"/>
      <c r="QZ187" s="901"/>
      <c r="RA187" s="901"/>
      <c r="RB187" s="901"/>
      <c r="RC187" s="901"/>
      <c r="RD187" s="901"/>
      <c r="RE187" s="901"/>
      <c r="RF187" s="901"/>
      <c r="RG187" s="901"/>
      <c r="RH187" s="901"/>
      <c r="RI187" s="901"/>
      <c r="RJ187" s="901"/>
      <c r="RK187" s="901"/>
      <c r="RL187" s="901"/>
      <c r="RM187" s="901"/>
      <c r="RN187" s="901"/>
      <c r="RO187" s="901"/>
      <c r="RP187" s="901"/>
      <c r="RQ187" s="901"/>
      <c r="RR187" s="901"/>
      <c r="RS187" s="901"/>
      <c r="RT187" s="901"/>
      <c r="RU187" s="901"/>
      <c r="RV187" s="901"/>
      <c r="RW187" s="901"/>
      <c r="RX187" s="901"/>
      <c r="RY187" s="901"/>
      <c r="RZ187" s="901"/>
      <c r="SA187" s="901"/>
      <c r="SB187" s="901"/>
      <c r="SC187" s="901"/>
      <c r="SD187" s="901"/>
      <c r="SE187" s="901"/>
      <c r="SF187" s="901"/>
      <c r="SG187" s="901"/>
      <c r="SH187" s="901"/>
      <c r="SI187" s="901"/>
      <c r="SJ187" s="901"/>
      <c r="SK187" s="901"/>
      <c r="SL187" s="901"/>
      <c r="SM187" s="901"/>
      <c r="SN187" s="901"/>
      <c r="SO187" s="901"/>
      <c r="SP187" s="901"/>
      <c r="SQ187" s="901"/>
      <c r="SR187" s="901"/>
      <c r="SS187" s="901"/>
      <c r="ST187" s="901"/>
      <c r="SU187" s="901"/>
      <c r="SV187" s="901"/>
      <c r="SW187" s="901"/>
      <c r="SX187" s="901"/>
      <c r="SY187" s="901"/>
      <c r="SZ187" s="901"/>
      <c r="TA187" s="901"/>
      <c r="TB187" s="901"/>
      <c r="TC187" s="901"/>
      <c r="TD187" s="901"/>
      <c r="TE187" s="901"/>
      <c r="TF187" s="901"/>
      <c r="TG187" s="901"/>
      <c r="TH187" s="901"/>
      <c r="TI187" s="901"/>
      <c r="TJ187" s="901"/>
      <c r="TK187" s="901"/>
      <c r="TL187" s="901"/>
      <c r="TM187" s="901"/>
      <c r="TN187" s="901"/>
      <c r="TO187" s="901"/>
      <c r="TP187" s="901"/>
      <c r="TQ187" s="901"/>
      <c r="TR187" s="901"/>
      <c r="TS187" s="901"/>
      <c r="TT187" s="901"/>
      <c r="TU187" s="901"/>
      <c r="TV187" s="901"/>
      <c r="TW187" s="901"/>
      <c r="TX187" s="901"/>
      <c r="TY187" s="901"/>
      <c r="TZ187" s="901"/>
      <c r="UA187" s="901"/>
      <c r="UB187" s="901"/>
      <c r="UC187" s="901"/>
      <c r="UD187" s="901"/>
      <c r="UE187" s="901"/>
      <c r="UF187" s="901"/>
      <c r="UG187" s="901"/>
      <c r="UH187" s="901"/>
      <c r="UI187" s="901"/>
      <c r="UJ187" s="901"/>
      <c r="UK187" s="901"/>
      <c r="UL187" s="901"/>
      <c r="UM187" s="901"/>
      <c r="UN187" s="901"/>
      <c r="UO187" s="901"/>
      <c r="UP187" s="901"/>
      <c r="UQ187" s="901"/>
      <c r="UR187" s="901"/>
      <c r="US187" s="901"/>
      <c r="UT187" s="901"/>
      <c r="UU187" s="901"/>
      <c r="UV187" s="901"/>
      <c r="UW187" s="901"/>
      <c r="UX187" s="901"/>
      <c r="UY187" s="901"/>
      <c r="UZ187" s="901"/>
      <c r="VA187" s="901"/>
      <c r="VB187" s="901"/>
      <c r="VC187" s="901"/>
      <c r="VD187" s="901"/>
      <c r="VE187" s="901"/>
      <c r="VF187" s="901"/>
      <c r="VG187" s="901"/>
      <c r="VH187" s="901"/>
      <c r="VI187" s="901"/>
      <c r="VJ187" s="901"/>
      <c r="VK187" s="901"/>
      <c r="VL187" s="901"/>
      <c r="VM187" s="901"/>
      <c r="VN187" s="901"/>
      <c r="VO187" s="901"/>
      <c r="VP187" s="901"/>
      <c r="VQ187" s="901"/>
      <c r="VR187" s="901"/>
      <c r="VS187" s="901"/>
      <c r="VT187" s="901"/>
      <c r="VU187" s="901"/>
      <c r="VV187" s="901"/>
      <c r="VW187" s="901"/>
      <c r="VX187" s="901"/>
      <c r="VY187" s="901"/>
      <c r="VZ187" s="901"/>
      <c r="WA187" s="901"/>
      <c r="WB187" s="901"/>
      <c r="WC187" s="901"/>
      <c r="WD187" s="901"/>
      <c r="WE187" s="901"/>
      <c r="WF187" s="901"/>
      <c r="WG187" s="901"/>
      <c r="WH187" s="901"/>
      <c r="WI187" s="901"/>
      <c r="WJ187" s="901"/>
      <c r="WK187" s="901"/>
      <c r="WL187" s="901"/>
      <c r="WM187" s="901"/>
      <c r="WN187" s="901"/>
      <c r="WO187" s="901"/>
      <c r="WP187" s="901"/>
      <c r="WQ187" s="901"/>
      <c r="WR187" s="901"/>
      <c r="WS187" s="901"/>
      <c r="WT187" s="901"/>
      <c r="WU187" s="901"/>
      <c r="WV187" s="901"/>
      <c r="WW187" s="901"/>
      <c r="WX187" s="901"/>
      <c r="WY187" s="901"/>
      <c r="WZ187" s="901"/>
      <c r="XA187" s="901"/>
      <c r="XB187" s="901"/>
      <c r="XC187" s="901"/>
      <c r="XD187" s="901"/>
      <c r="XE187" s="901"/>
      <c r="XF187" s="901"/>
      <c r="XG187" s="901"/>
      <c r="XH187" s="901"/>
      <c r="XI187" s="901"/>
      <c r="XJ187" s="901"/>
      <c r="XK187" s="901"/>
      <c r="XL187" s="901"/>
      <c r="XM187" s="901"/>
      <c r="XN187" s="901"/>
      <c r="XO187" s="901"/>
      <c r="XP187" s="901"/>
      <c r="XQ187" s="901"/>
      <c r="XR187" s="901"/>
      <c r="XS187" s="901"/>
      <c r="XT187" s="901"/>
      <c r="XU187" s="901"/>
      <c r="XV187" s="901"/>
      <c r="XW187" s="901"/>
      <c r="XX187" s="901"/>
      <c r="XY187" s="901"/>
      <c r="XZ187" s="901"/>
      <c r="YA187" s="901"/>
      <c r="YB187" s="901"/>
      <c r="YC187" s="901"/>
      <c r="YD187" s="901"/>
      <c r="YE187" s="901"/>
      <c r="YF187" s="901"/>
      <c r="YG187" s="901"/>
      <c r="YH187" s="901"/>
      <c r="YI187" s="901"/>
      <c r="YJ187" s="901"/>
      <c r="YK187" s="901"/>
      <c r="YL187" s="901"/>
      <c r="YM187" s="901"/>
      <c r="YN187" s="901"/>
      <c r="YO187" s="901"/>
      <c r="YP187" s="901"/>
      <c r="YQ187" s="901"/>
      <c r="YR187" s="901"/>
      <c r="YS187" s="901"/>
      <c r="YT187" s="901"/>
      <c r="YU187" s="901"/>
      <c r="YV187" s="901"/>
      <c r="YW187" s="901"/>
      <c r="YX187" s="901"/>
      <c r="YY187" s="901"/>
      <c r="YZ187" s="901"/>
      <c r="ZA187" s="901"/>
      <c r="ZB187" s="901"/>
      <c r="ZC187" s="901"/>
      <c r="ZD187" s="901"/>
      <c r="ZE187" s="901"/>
      <c r="ZF187" s="901"/>
      <c r="ZG187" s="901"/>
      <c r="ZH187" s="901"/>
      <c r="ZI187" s="901"/>
      <c r="ZJ187" s="901"/>
      <c r="ZK187" s="901"/>
      <c r="ZL187" s="901"/>
      <c r="ZM187" s="901"/>
      <c r="ZN187" s="901"/>
      <c r="ZO187" s="901"/>
      <c r="ZP187" s="901"/>
      <c r="ZQ187" s="901"/>
      <c r="ZR187" s="901"/>
      <c r="ZS187" s="901"/>
      <c r="ZT187" s="901"/>
      <c r="ZU187" s="901"/>
      <c r="ZV187" s="901"/>
      <c r="ZW187" s="901"/>
      <c r="ZX187" s="901"/>
      <c r="ZY187" s="901"/>
      <c r="ZZ187" s="901"/>
      <c r="AAA187" s="901"/>
      <c r="AAB187" s="901"/>
      <c r="AAC187" s="901"/>
      <c r="AAD187" s="901"/>
      <c r="AAE187" s="901"/>
      <c r="AAF187" s="901"/>
      <c r="AAG187" s="901"/>
      <c r="AAH187" s="901"/>
      <c r="AAI187" s="901"/>
      <c r="AAJ187" s="901"/>
      <c r="AAK187" s="901"/>
      <c r="AAL187" s="901"/>
      <c r="AAM187" s="901"/>
      <c r="AAN187" s="901"/>
      <c r="AAO187" s="901"/>
      <c r="AAP187" s="901"/>
      <c r="AAQ187" s="901"/>
      <c r="AAR187" s="901"/>
      <c r="AAS187" s="901"/>
      <c r="AAT187" s="901"/>
      <c r="AAU187" s="901"/>
      <c r="AAV187" s="901"/>
      <c r="AAW187" s="901"/>
      <c r="AAX187" s="901"/>
      <c r="AAY187" s="901"/>
      <c r="AAZ187" s="901"/>
      <c r="ABA187" s="901"/>
      <c r="ABB187" s="901"/>
      <c r="ABC187" s="901"/>
      <c r="ABD187" s="901"/>
      <c r="ABE187" s="901"/>
      <c r="ABF187" s="901"/>
      <c r="ABG187" s="901"/>
      <c r="ABH187" s="901"/>
      <c r="ABI187" s="901"/>
      <c r="ABJ187" s="901"/>
      <c r="ABK187" s="901"/>
      <c r="ABL187" s="901"/>
      <c r="ABM187" s="901"/>
      <c r="ABN187" s="901"/>
      <c r="ABO187" s="901"/>
      <c r="ABP187" s="901"/>
      <c r="ABQ187" s="901"/>
      <c r="ABR187" s="901"/>
      <c r="ABS187" s="901"/>
      <c r="ABT187" s="901"/>
      <c r="ABU187" s="901"/>
      <c r="ABV187" s="901"/>
      <c r="ABW187" s="901"/>
      <c r="ABX187" s="901"/>
      <c r="ABY187" s="901"/>
      <c r="ABZ187" s="901"/>
      <c r="ACA187" s="901"/>
      <c r="ACB187" s="901"/>
      <c r="ACC187" s="901"/>
      <c r="ACD187" s="901"/>
      <c r="ACE187" s="901"/>
      <c r="ACF187" s="901"/>
      <c r="ACG187" s="901"/>
      <c r="ACH187" s="901"/>
      <c r="ACI187" s="901"/>
      <c r="ACJ187" s="901"/>
      <c r="ACK187" s="901"/>
      <c r="ACL187" s="901"/>
      <c r="ACM187" s="901"/>
      <c r="ACN187" s="901"/>
      <c r="ACO187" s="901"/>
      <c r="ACP187" s="901"/>
      <c r="ACQ187" s="901"/>
      <c r="ACR187" s="901"/>
      <c r="ACS187" s="901"/>
      <c r="ACT187" s="901"/>
      <c r="ACU187" s="901"/>
      <c r="ACV187" s="901"/>
      <c r="ACW187" s="901"/>
      <c r="ACX187" s="901"/>
      <c r="ACY187" s="901"/>
      <c r="ACZ187" s="901"/>
      <c r="ADA187" s="901"/>
      <c r="ADB187" s="901"/>
      <c r="ADC187" s="901"/>
      <c r="ADD187" s="901"/>
      <c r="ADE187" s="901"/>
      <c r="ADF187" s="901"/>
      <c r="ADG187" s="901"/>
      <c r="ADH187" s="901"/>
      <c r="ADI187" s="901"/>
      <c r="ADJ187" s="901"/>
      <c r="ADK187" s="901"/>
      <c r="ADL187" s="901"/>
      <c r="ADM187" s="901"/>
      <c r="ADN187" s="901"/>
      <c r="ADO187" s="901"/>
      <c r="ADP187" s="901"/>
      <c r="ADQ187" s="901"/>
      <c r="ADR187" s="901"/>
      <c r="ADS187" s="901"/>
      <c r="ADT187" s="901"/>
      <c r="ADU187" s="901"/>
      <c r="ADV187" s="901"/>
      <c r="ADW187" s="901"/>
      <c r="ADX187" s="901"/>
      <c r="ADY187" s="901"/>
      <c r="ADZ187" s="901"/>
      <c r="AEA187" s="901"/>
      <c r="AEB187" s="901"/>
      <c r="AEC187" s="901"/>
      <c r="AED187" s="901"/>
      <c r="AEE187" s="901"/>
      <c r="AEF187" s="901"/>
      <c r="AEG187" s="901"/>
      <c r="AEH187" s="901"/>
      <c r="AEI187" s="901"/>
      <c r="AEJ187" s="901"/>
      <c r="AEK187" s="901"/>
      <c r="AEL187" s="901"/>
      <c r="AEM187" s="901"/>
      <c r="AEN187" s="901"/>
      <c r="AEO187" s="901"/>
      <c r="AEP187" s="901"/>
      <c r="AEQ187" s="901"/>
      <c r="AER187" s="901"/>
      <c r="AES187" s="901"/>
      <c r="AET187" s="901"/>
      <c r="AEU187" s="901"/>
      <c r="AEV187" s="901"/>
      <c r="AEW187" s="901"/>
      <c r="AEX187" s="901"/>
      <c r="AEY187" s="901"/>
      <c r="AEZ187" s="901"/>
      <c r="AFA187" s="901"/>
      <c r="AFB187" s="901"/>
      <c r="AFC187" s="901"/>
      <c r="AFD187" s="901"/>
      <c r="AFE187" s="901"/>
      <c r="AFF187" s="901"/>
      <c r="AFG187" s="901"/>
      <c r="AFH187" s="901"/>
      <c r="AFI187" s="901"/>
      <c r="AFJ187" s="901"/>
      <c r="AFK187" s="901"/>
      <c r="AFL187" s="901"/>
      <c r="AFM187" s="901"/>
      <c r="AFN187" s="901"/>
      <c r="AFO187" s="901"/>
      <c r="AFP187" s="901"/>
      <c r="AFQ187" s="901"/>
      <c r="AFR187" s="901"/>
      <c r="AFS187" s="901"/>
      <c r="AFT187" s="901"/>
      <c r="AFU187" s="901"/>
      <c r="AFV187" s="901"/>
      <c r="AFW187" s="901"/>
      <c r="AFX187" s="901"/>
      <c r="AFY187" s="901"/>
      <c r="AFZ187" s="901"/>
      <c r="AGA187" s="901"/>
      <c r="AGB187" s="901"/>
      <c r="AGC187" s="901"/>
      <c r="AGD187" s="901"/>
      <c r="AGE187" s="901"/>
      <c r="AGF187" s="901"/>
      <c r="AGG187" s="901"/>
      <c r="AGH187" s="901"/>
      <c r="AGI187" s="901"/>
      <c r="AGJ187" s="901"/>
      <c r="AGK187" s="901"/>
      <c r="AGL187" s="901"/>
      <c r="AGM187" s="901"/>
      <c r="AGN187" s="901"/>
      <c r="AGO187" s="901"/>
      <c r="AGP187" s="901"/>
      <c r="AGQ187" s="901"/>
      <c r="AGR187" s="901"/>
      <c r="AGS187" s="901"/>
      <c r="AGT187" s="901"/>
      <c r="AGU187" s="901"/>
      <c r="AGV187" s="901"/>
      <c r="AGW187" s="901"/>
      <c r="AGX187" s="901"/>
      <c r="AGY187" s="901"/>
      <c r="AGZ187" s="901"/>
      <c r="AHA187" s="901"/>
      <c r="AHB187" s="901"/>
      <c r="AHC187" s="901"/>
      <c r="AHD187" s="901"/>
      <c r="AHE187" s="901"/>
      <c r="AHF187" s="901"/>
      <c r="AHG187" s="901"/>
      <c r="AHH187" s="901"/>
      <c r="AHI187" s="901"/>
      <c r="AHJ187" s="901"/>
      <c r="AHK187" s="901"/>
      <c r="AHL187" s="901"/>
      <c r="AHM187" s="901"/>
      <c r="AHN187" s="901"/>
      <c r="AHO187" s="901"/>
      <c r="AHP187" s="901"/>
      <c r="AHQ187" s="901"/>
      <c r="AHR187" s="901"/>
      <c r="AHS187" s="901"/>
      <c r="AHT187" s="901"/>
      <c r="AHU187" s="901"/>
      <c r="AHV187" s="901"/>
      <c r="AHW187" s="901"/>
      <c r="AHX187" s="901"/>
      <c r="AHY187" s="901"/>
      <c r="AHZ187" s="901"/>
      <c r="AIA187" s="901"/>
      <c r="AIB187" s="901"/>
      <c r="AIC187" s="901"/>
      <c r="AID187" s="901"/>
      <c r="AIE187" s="901"/>
      <c r="AIF187" s="901"/>
      <c r="AIG187" s="901"/>
      <c r="AIH187" s="901"/>
      <c r="AII187" s="901"/>
      <c r="AIJ187" s="901"/>
      <c r="AIK187" s="901"/>
      <c r="AIL187" s="901"/>
      <c r="AIM187" s="901"/>
      <c r="AIN187" s="901"/>
      <c r="AIO187" s="901"/>
      <c r="AIP187" s="901"/>
      <c r="AIQ187" s="901"/>
      <c r="AIR187" s="901"/>
      <c r="AIS187" s="901"/>
      <c r="AIT187" s="901"/>
      <c r="AIU187" s="901"/>
      <c r="AIV187" s="901"/>
      <c r="AIW187" s="901"/>
      <c r="AIX187" s="901"/>
      <c r="AIY187" s="901"/>
      <c r="AIZ187" s="901"/>
      <c r="AJA187" s="901"/>
      <c r="AJB187" s="901"/>
      <c r="AJC187" s="901"/>
      <c r="AJD187" s="901"/>
      <c r="AJE187" s="901"/>
      <c r="AJF187" s="901"/>
      <c r="AJG187" s="901"/>
      <c r="AJH187" s="901"/>
      <c r="AJI187" s="901"/>
      <c r="AJJ187" s="901"/>
      <c r="AJK187" s="901"/>
      <c r="AJL187" s="901"/>
      <c r="AJM187" s="901"/>
      <c r="AJN187" s="901"/>
      <c r="AJO187" s="901"/>
      <c r="AJP187" s="901"/>
      <c r="AJQ187" s="901"/>
      <c r="AJR187" s="901"/>
      <c r="AJS187" s="901"/>
      <c r="AJT187" s="901"/>
      <c r="AJU187" s="901"/>
      <c r="AJV187" s="901"/>
      <c r="AJW187" s="901"/>
      <c r="AJX187" s="901"/>
      <c r="AJY187" s="901"/>
      <c r="AJZ187" s="901"/>
      <c r="AKA187" s="901"/>
      <c r="AKB187" s="901"/>
      <c r="AKC187" s="901"/>
      <c r="AKD187" s="901"/>
      <c r="AKE187" s="901"/>
      <c r="AKF187" s="901"/>
      <c r="AKG187" s="901"/>
      <c r="AKH187" s="901"/>
      <c r="AKI187" s="901"/>
      <c r="AKJ187" s="901"/>
      <c r="AKK187" s="901"/>
      <c r="AKL187" s="901"/>
      <c r="AKM187" s="901"/>
      <c r="AKN187" s="901"/>
      <c r="AKO187" s="901"/>
      <c r="AKP187" s="901"/>
      <c r="AKQ187" s="901"/>
      <c r="AKR187" s="901"/>
      <c r="AKS187" s="901"/>
      <c r="AKT187" s="901"/>
      <c r="AKU187" s="901"/>
      <c r="AKV187" s="901"/>
      <c r="AKW187" s="901"/>
      <c r="AKX187" s="901"/>
      <c r="AKY187" s="901"/>
      <c r="AKZ187" s="901"/>
      <c r="ALA187" s="901"/>
      <c r="ALB187" s="901"/>
      <c r="ALC187" s="901"/>
      <c r="ALD187" s="901"/>
      <c r="ALE187" s="901"/>
      <c r="ALF187" s="901"/>
      <c r="ALG187" s="901"/>
      <c r="ALH187" s="901"/>
      <c r="ALI187" s="901"/>
      <c r="ALJ187" s="901"/>
      <c r="ALK187" s="901"/>
      <c r="ALL187" s="901"/>
      <c r="ALM187" s="901"/>
      <c r="ALN187" s="901"/>
      <c r="ALO187" s="901"/>
      <c r="ALP187" s="901"/>
      <c r="ALQ187" s="901"/>
      <c r="ALR187" s="901"/>
      <c r="ALS187" s="901"/>
      <c r="ALT187" s="901"/>
      <c r="ALU187" s="901"/>
      <c r="ALV187" s="901"/>
      <c r="ALW187" s="901"/>
      <c r="ALX187" s="901"/>
      <c r="ALY187" s="901"/>
      <c r="ALZ187" s="901"/>
      <c r="AMA187" s="901"/>
      <c r="AMB187" s="901"/>
      <c r="AMC187" s="901"/>
      <c r="AMD187" s="901"/>
      <c r="AME187" s="901"/>
      <c r="AMF187" s="901"/>
      <c r="AMG187" s="901"/>
      <c r="AMH187" s="901"/>
      <c r="AMI187" s="901"/>
      <c r="AMJ187" s="901"/>
      <c r="AMK187" s="901"/>
      <c r="AML187" s="901"/>
    </row>
    <row r="188" spans="1:1026">
      <c r="A188" s="249">
        <v>5</v>
      </c>
      <c r="B188" s="685" t="s">
        <v>16</v>
      </c>
      <c r="C188" s="685">
        <v>2</v>
      </c>
      <c r="D188" s="685" t="s">
        <v>16</v>
      </c>
      <c r="E188" s="686" t="s">
        <v>84</v>
      </c>
      <c r="F188" s="685" t="s">
        <v>16</v>
      </c>
      <c r="G188" s="686" t="s">
        <v>75</v>
      </c>
      <c r="H188" s="251" t="s">
        <v>215</v>
      </c>
      <c r="I188" s="122"/>
      <c r="J188" s="123"/>
      <c r="K188" s="122">
        <v>3100</v>
      </c>
      <c r="L188" s="123">
        <v>2322</v>
      </c>
      <c r="M188" s="94">
        <v>3100</v>
      </c>
      <c r="N188" s="95">
        <v>2832.72</v>
      </c>
      <c r="O188" s="98">
        <v>3400</v>
      </c>
      <c r="P188" s="95">
        <v>1275</v>
      </c>
      <c r="Q188" s="98">
        <v>3300</v>
      </c>
      <c r="R188" s="95">
        <v>2040</v>
      </c>
      <c r="S188" s="125">
        <v>3500</v>
      </c>
      <c r="T188" s="125">
        <v>3500</v>
      </c>
      <c r="U188" s="125">
        <v>-1785</v>
      </c>
      <c r="V188" s="87">
        <f t="shared" si="72"/>
        <v>3500</v>
      </c>
      <c r="W188" s="88">
        <v>-2295</v>
      </c>
      <c r="X188" s="89">
        <f>ROUNDUP(255/15*18*12,-2)</f>
        <v>3700</v>
      </c>
      <c r="Y188" s="90">
        <v>-1530</v>
      </c>
      <c r="Z188" s="89">
        <f>ROUNDUP(255/15*18*12,-2)</f>
        <v>3700</v>
      </c>
      <c r="AA188" s="296">
        <v>-3672</v>
      </c>
      <c r="AB188" s="89">
        <f>ROUNDUP(255/15*18*12,-2)</f>
        <v>3700</v>
      </c>
      <c r="AC188" s="296">
        <v>-3672</v>
      </c>
      <c r="AD188" s="89">
        <f>ROUNDUP(255/15*18*12,-2)</f>
        <v>3700</v>
      </c>
      <c r="AE188" s="296">
        <v>-3672</v>
      </c>
      <c r="AF188" s="89">
        <f>ROUNDUP(255/15*18*12,-2)</f>
        <v>3700</v>
      </c>
      <c r="AG188" s="674">
        <v>-918</v>
      </c>
      <c r="AH188" s="89">
        <f>ROUNDUP(255/15*18*12,-2)</f>
        <v>3700</v>
      </c>
      <c r="AI188" s="89">
        <f>ROUNDUP(255/15*18*12,-2)</f>
        <v>3700</v>
      </c>
      <c r="AJ188" s="89">
        <f>ROUNDUP(255/15*18*12,-2)</f>
        <v>3700</v>
      </c>
      <c r="AK188" s="726"/>
      <c r="AM188" s="106"/>
      <c r="AN188" s="106"/>
    </row>
    <row r="189" spans="1:1026">
      <c r="A189" s="80">
        <v>5</v>
      </c>
      <c r="B189" s="14" t="s">
        <v>16</v>
      </c>
      <c r="C189" s="14">
        <v>2</v>
      </c>
      <c r="D189" s="14" t="s">
        <v>16</v>
      </c>
      <c r="E189" s="15" t="s">
        <v>84</v>
      </c>
      <c r="F189" s="14" t="s">
        <v>16</v>
      </c>
      <c r="G189" s="15" t="s">
        <v>132</v>
      </c>
      <c r="H189" s="251" t="s">
        <v>216</v>
      </c>
      <c r="I189" s="94"/>
      <c r="J189" s="95"/>
      <c r="K189" s="94">
        <v>5400</v>
      </c>
      <c r="L189" s="95">
        <v>4050</v>
      </c>
      <c r="M189" s="94">
        <v>5400</v>
      </c>
      <c r="N189" s="95">
        <v>5400</v>
      </c>
      <c r="O189" s="96">
        <v>5400</v>
      </c>
      <c r="P189" s="95">
        <v>3150</v>
      </c>
      <c r="Q189" s="96">
        <v>5400</v>
      </c>
      <c r="R189" s="95">
        <v>4500</v>
      </c>
      <c r="S189" s="99">
        <v>5400</v>
      </c>
      <c r="T189" s="99">
        <v>5400</v>
      </c>
      <c r="U189" s="99">
        <v>-3150</v>
      </c>
      <c r="V189" s="87">
        <f t="shared" si="72"/>
        <v>5400</v>
      </c>
      <c r="W189" s="88">
        <v>-4050</v>
      </c>
      <c r="X189" s="89">
        <f>ROUNDUP(450/15*18*12,-2)</f>
        <v>6500</v>
      </c>
      <c r="Y189" s="90">
        <v>-2547.98</v>
      </c>
      <c r="Z189" s="89">
        <f>ROUNDUP(450/15*18*12,-2)</f>
        <v>6500</v>
      </c>
      <c r="AA189" s="296">
        <v>-6327.98</v>
      </c>
      <c r="AB189" s="89">
        <f>ROUNDUP(450/15*18*12,-2)</f>
        <v>6500</v>
      </c>
      <c r="AC189" s="296">
        <v>-6327.98</v>
      </c>
      <c r="AD189" s="89">
        <f>ROUNDUP(450/15*18*12,-2)</f>
        <v>6500</v>
      </c>
      <c r="AE189" s="296">
        <v>-6254.38</v>
      </c>
      <c r="AF189" s="89">
        <f>ROUNDUP(450/15*18*12,-2)</f>
        <v>6500</v>
      </c>
      <c r="AG189" s="674">
        <v>-3177.34</v>
      </c>
      <c r="AH189" s="89">
        <f>ROUNDUP(450/15*18*12,-2)</f>
        <v>6500</v>
      </c>
      <c r="AI189" s="89">
        <f>ROUNDUP(450/15*18*12,-2)</f>
        <v>6500</v>
      </c>
      <c r="AJ189" s="89">
        <f>ROUNDUP(450/15*18*12,-2)</f>
        <v>6500</v>
      </c>
      <c r="AK189" s="727"/>
      <c r="AM189" s="106"/>
      <c r="AN189" s="106"/>
    </row>
    <row r="190" spans="1:1026">
      <c r="A190" s="144"/>
      <c r="B190" s="680"/>
      <c r="C190" s="680"/>
      <c r="D190" s="680"/>
      <c r="E190" s="676"/>
      <c r="F190" s="680"/>
      <c r="G190" s="145"/>
      <c r="H190" s="146" t="s">
        <v>217</v>
      </c>
      <c r="I190" s="265">
        <f t="shared" ref="I190:O190" si="74">SUM(I181:I189)</f>
        <v>0</v>
      </c>
      <c r="J190" s="266">
        <f t="shared" si="74"/>
        <v>0</v>
      </c>
      <c r="K190" s="147">
        <f t="shared" si="74"/>
        <v>102000</v>
      </c>
      <c r="L190" s="266">
        <f t="shared" si="74"/>
        <v>73294.75</v>
      </c>
      <c r="M190" s="147">
        <f t="shared" si="74"/>
        <v>106400</v>
      </c>
      <c r="N190" s="148">
        <f t="shared" si="74"/>
        <v>97419.700000000012</v>
      </c>
      <c r="O190" s="149">
        <f t="shared" si="74"/>
        <v>104300</v>
      </c>
      <c r="P190" s="148">
        <f>SUM(P182:P189)</f>
        <v>62634.81</v>
      </c>
      <c r="Q190" s="149">
        <v>105200</v>
      </c>
      <c r="R190" s="148">
        <f>SUM(R182:R189)</f>
        <v>90543.97</v>
      </c>
      <c r="S190" s="151">
        <f>SUM(S181:S189)</f>
        <v>108400</v>
      </c>
      <c r="T190" s="151">
        <f>SUM(T181:T189)</f>
        <v>108400</v>
      </c>
      <c r="U190" s="151"/>
      <c r="V190" s="151">
        <f>SUM(V181:V189)</f>
        <v>108400</v>
      </c>
      <c r="W190" s="152">
        <v>-72825.97</v>
      </c>
      <c r="X190" s="153">
        <f>SUM(X181:X189)</f>
        <v>122800</v>
      </c>
      <c r="Y190" s="190">
        <v>-46129.07</v>
      </c>
      <c r="Z190" s="153">
        <f>SUM(Z181:Z189)</f>
        <v>122800</v>
      </c>
      <c r="AA190" s="153">
        <f>SUM(AA181:AA189)</f>
        <v>-108749.42</v>
      </c>
      <c r="AB190" s="153">
        <f>SUM(AB181:AB189)</f>
        <v>122800</v>
      </c>
      <c r="AC190" s="277">
        <v>-108749.42</v>
      </c>
      <c r="AD190" s="153">
        <f>SUM(AD181:AD189)</f>
        <v>122800</v>
      </c>
      <c r="AE190" s="153">
        <f t="shared" ref="AE190" si="75">SUM(AE181:AE189)</f>
        <v>-117694.99</v>
      </c>
      <c r="AF190" s="153">
        <f>SUM(AF181:AF189)</f>
        <v>122800</v>
      </c>
      <c r="AG190" s="153">
        <f t="shared" ref="AG190" si="76">SUM(AG181:AG189)</f>
        <v>-62314.64</v>
      </c>
      <c r="AH190" s="153">
        <f>SUM(AH181:AH189)</f>
        <v>118521.24</v>
      </c>
      <c r="AI190" s="153">
        <f>SUM(AI181:AI189)</f>
        <v>118500</v>
      </c>
      <c r="AJ190" s="153">
        <f>SUM(AJ181:AJ189)</f>
        <v>118500</v>
      </c>
      <c r="AK190" s="728"/>
      <c r="AL190" s="740"/>
      <c r="AM190" s="106"/>
      <c r="AN190" s="106"/>
    </row>
    <row r="191" spans="1:1026">
      <c r="A191" s="80"/>
      <c r="B191" s="14"/>
      <c r="C191" s="14"/>
      <c r="D191" s="14"/>
      <c r="E191" s="15"/>
      <c r="F191" s="14"/>
      <c r="G191" s="15"/>
      <c r="H191" s="251"/>
      <c r="I191" s="459"/>
      <c r="J191" s="315"/>
      <c r="K191" s="94"/>
      <c r="L191" s="315"/>
      <c r="M191" s="94"/>
      <c r="N191" s="95"/>
      <c r="O191" s="96"/>
      <c r="P191" s="86"/>
      <c r="Q191" s="85"/>
      <c r="R191" s="86"/>
      <c r="S191" s="87"/>
      <c r="T191" s="87"/>
      <c r="U191" s="87"/>
      <c r="V191" s="87"/>
      <c r="W191" s="88"/>
      <c r="X191" s="89"/>
      <c r="Y191" s="90"/>
      <c r="Z191" s="91"/>
      <c r="AA191" s="92"/>
      <c r="AB191" s="91"/>
      <c r="AC191" s="92"/>
      <c r="AD191" s="91"/>
      <c r="AE191" s="92"/>
      <c r="AF191" s="91"/>
      <c r="AG191" s="744"/>
      <c r="AH191" s="91"/>
      <c r="AI191" s="91"/>
      <c r="AJ191" s="91"/>
      <c r="AK191" s="729"/>
      <c r="AL191" s="741"/>
      <c r="AM191" s="106"/>
      <c r="AN191" s="106"/>
    </row>
    <row r="192" spans="1:1026">
      <c r="A192" s="66">
        <v>5</v>
      </c>
      <c r="B192" s="67" t="s">
        <v>16</v>
      </c>
      <c r="C192" s="67">
        <v>2</v>
      </c>
      <c r="D192" s="67" t="s">
        <v>16</v>
      </c>
      <c r="E192" s="68" t="s">
        <v>86</v>
      </c>
      <c r="F192" s="67" t="s">
        <v>16</v>
      </c>
      <c r="G192" s="68" t="s">
        <v>70</v>
      </c>
      <c r="H192" s="238" t="s">
        <v>218</v>
      </c>
      <c r="I192" s="203"/>
      <c r="J192" s="204"/>
      <c r="K192" s="203">
        <v>2000</v>
      </c>
      <c r="L192" s="204">
        <v>0</v>
      </c>
      <c r="M192" s="203">
        <v>2000</v>
      </c>
      <c r="N192" s="204">
        <v>0</v>
      </c>
      <c r="O192" s="205">
        <v>2000</v>
      </c>
      <c r="P192" s="183">
        <v>0</v>
      </c>
      <c r="Q192" s="460">
        <v>1000</v>
      </c>
      <c r="R192" s="183">
        <v>0</v>
      </c>
      <c r="S192" s="184">
        <v>2000</v>
      </c>
      <c r="T192" s="184">
        <v>2000</v>
      </c>
      <c r="U192" s="184"/>
      <c r="V192" s="184">
        <v>2000</v>
      </c>
      <c r="W192" s="185">
        <v>0</v>
      </c>
      <c r="X192" s="186">
        <v>2000</v>
      </c>
      <c r="Y192" s="187">
        <v>-650</v>
      </c>
      <c r="Z192" s="186">
        <v>2000</v>
      </c>
      <c r="AA192" s="461">
        <v>-650</v>
      </c>
      <c r="AB192" s="186">
        <v>1000</v>
      </c>
      <c r="AC192" s="461">
        <v>-650</v>
      </c>
      <c r="AD192" s="186">
        <v>1000</v>
      </c>
      <c r="AE192" s="461"/>
      <c r="AF192" s="186">
        <v>1000</v>
      </c>
      <c r="AG192" s="762"/>
      <c r="AH192" s="186">
        <v>1000</v>
      </c>
      <c r="AI192" s="186">
        <v>1000</v>
      </c>
      <c r="AJ192" s="186">
        <v>1000</v>
      </c>
      <c r="AK192" s="730"/>
      <c r="AM192" s="106"/>
      <c r="AN192" s="106"/>
    </row>
    <row r="193" spans="1:1026">
      <c r="A193" s="80"/>
      <c r="B193" s="14"/>
      <c r="C193" s="14"/>
      <c r="D193" s="14"/>
      <c r="E193" s="15"/>
      <c r="F193" s="14"/>
      <c r="G193" s="15"/>
      <c r="H193" s="250"/>
      <c r="I193" s="462"/>
      <c r="K193" s="83"/>
      <c r="M193" s="83"/>
      <c r="N193" s="84"/>
      <c r="O193" s="85"/>
      <c r="P193" s="86"/>
      <c r="Q193" s="85"/>
      <c r="R193" s="86"/>
      <c r="S193" s="87"/>
      <c r="T193" s="87"/>
      <c r="U193" s="87"/>
      <c r="V193" s="87"/>
      <c r="W193" s="88"/>
      <c r="X193" s="89"/>
      <c r="Y193" s="90"/>
      <c r="Z193" s="91"/>
      <c r="AA193" s="92"/>
      <c r="AB193" s="91"/>
      <c r="AC193" s="92"/>
      <c r="AD193" s="91"/>
      <c r="AE193" s="92"/>
      <c r="AF193" s="91"/>
      <c r="AG193" s="744"/>
      <c r="AH193" s="91"/>
      <c r="AI193" s="91"/>
      <c r="AJ193" s="91"/>
      <c r="AK193" s="731"/>
      <c r="AM193" s="106"/>
      <c r="AN193" s="106"/>
    </row>
    <row r="194" spans="1:1026">
      <c r="A194" s="66">
        <v>5</v>
      </c>
      <c r="B194" s="67" t="s">
        <v>16</v>
      </c>
      <c r="C194" s="67">
        <v>2</v>
      </c>
      <c r="D194" s="67" t="s">
        <v>16</v>
      </c>
      <c r="E194" s="68" t="s">
        <v>88</v>
      </c>
      <c r="F194" s="67" t="s">
        <v>16</v>
      </c>
      <c r="G194" s="69" t="s">
        <v>70</v>
      </c>
      <c r="H194" s="238" t="s">
        <v>219</v>
      </c>
      <c r="I194" s="239"/>
      <c r="J194" s="240"/>
      <c r="K194" s="239"/>
      <c r="L194" s="240"/>
      <c r="M194" s="239"/>
      <c r="N194" s="240"/>
      <c r="O194" s="241"/>
      <c r="P194" s="242"/>
      <c r="Q194" s="241"/>
      <c r="R194" s="242"/>
      <c r="S194" s="243"/>
      <c r="T194" s="243"/>
      <c r="U194" s="243"/>
      <c r="V194" s="243"/>
      <c r="W194" s="244"/>
      <c r="X194" s="245"/>
      <c r="Y194" s="246"/>
      <c r="Z194" s="247"/>
      <c r="AA194" s="248"/>
      <c r="AB194" s="247"/>
      <c r="AC194" s="248"/>
      <c r="AD194" s="247"/>
      <c r="AE194" s="248"/>
      <c r="AF194" s="247"/>
      <c r="AG194" s="752"/>
      <c r="AH194" s="247"/>
      <c r="AI194" s="247"/>
      <c r="AJ194" s="247"/>
      <c r="AK194" s="710"/>
      <c r="AM194" s="106"/>
      <c r="AN194" s="106"/>
    </row>
    <row r="195" spans="1:1026" s="902" customFormat="1" ht="15">
      <c r="A195" s="882">
        <v>5</v>
      </c>
      <c r="B195" s="883" t="s">
        <v>16</v>
      </c>
      <c r="C195" s="883">
        <v>2</v>
      </c>
      <c r="D195" s="883" t="s">
        <v>16</v>
      </c>
      <c r="E195" s="884" t="s">
        <v>88</v>
      </c>
      <c r="F195" s="883" t="s">
        <v>16</v>
      </c>
      <c r="G195" s="885" t="s">
        <v>81</v>
      </c>
      <c r="H195" s="913" t="s">
        <v>220</v>
      </c>
      <c r="I195" s="963"/>
      <c r="J195" s="964"/>
      <c r="K195" s="965">
        <f>ROUNDUP(((K183+K184+K185+K186+K187+K188+K189)*340/400)*0.2915+(K182)*0.19825,-2)+3400</f>
        <v>27400</v>
      </c>
      <c r="L195" s="966">
        <v>16702.73</v>
      </c>
      <c r="M195" s="965">
        <f>ROUNDUP(((M183+M184+M185+M186+M187+M188+M189)*340/400)*0.2915+(M182)*0.19825,-2)+3400</f>
        <v>28500</v>
      </c>
      <c r="N195" s="964">
        <v>16974.93</v>
      </c>
      <c r="O195" s="967">
        <f>ROUNDUP(((O183+O184+O185+O186+O187+O188+O189)*340/400)*0.2915+(O182)*0.19825,-2)+3400</f>
        <v>28000</v>
      </c>
      <c r="P195" s="968">
        <v>846.49</v>
      </c>
      <c r="Q195" s="967">
        <v>28300</v>
      </c>
      <c r="R195" s="968">
        <v>1263.99</v>
      </c>
      <c r="S195" s="969">
        <f>ROUNDUP(((S183+S184+S185+S186+S187+S188+S189)*340/400)*0.2915+(S182)*0.19825,-2)+3400</f>
        <v>29000</v>
      </c>
      <c r="T195" s="969">
        <f>ROUNDUP(((T183+T184+T185+T186+T187+T188+T189)*340/400)*0.2915+(T182)*0.19825,-2)+3400</f>
        <v>29000</v>
      </c>
      <c r="U195" s="969">
        <v>-13524.02</v>
      </c>
      <c r="V195" s="969">
        <f>ROUNDUP(((V183+V184+V185+V186+V187+V188+V189)*340/400)*0.2915+(V182)*0.19825,-2)+3400</f>
        <v>29000</v>
      </c>
      <c r="W195" s="970">
        <v>-17360.689999999999</v>
      </c>
      <c r="X195" s="971">
        <f>ROUNDUP(((X183+X184+X185+X186+X187+X188+X189)*340/400)*0.2915+(X182)*0.19825,-2)+3400</f>
        <v>32300</v>
      </c>
      <c r="Y195" s="972">
        <v>-9624.6200000000008</v>
      </c>
      <c r="Z195" s="973">
        <f>ROUNDUP(((Z183+Z184+Z185+Z186+Z187+Z188+Z189)*340/400)*0.2915+(Z182)*0.19825,-2)+3400</f>
        <v>32300</v>
      </c>
      <c r="AA195" s="974">
        <v>-25308.19</v>
      </c>
      <c r="AB195" s="973">
        <f>ROUNDUP(((AB183+AB184+AB185+AB186+AB187+AB188+AB189)*340/400)*0.2915+(AB182)*0.19825,-2)+3400</f>
        <v>32300</v>
      </c>
      <c r="AC195" s="974">
        <v>-25308.19</v>
      </c>
      <c r="AD195" s="973">
        <v>28500</v>
      </c>
      <c r="AE195" s="974">
        <v>-28315.24</v>
      </c>
      <c r="AF195" s="973">
        <v>28500</v>
      </c>
      <c r="AG195" s="975">
        <v>-14997.35</v>
      </c>
      <c r="AH195" s="973">
        <v>28500</v>
      </c>
      <c r="AI195" s="973">
        <v>29000</v>
      </c>
      <c r="AJ195" s="973">
        <v>29000</v>
      </c>
      <c r="AK195" s="976" t="s">
        <v>221</v>
      </c>
      <c r="AL195" s="942"/>
      <c r="AM195" s="900"/>
      <c r="AN195" s="900"/>
      <c r="AO195" s="943"/>
      <c r="AP195" s="943"/>
      <c r="AQ195" s="943"/>
      <c r="AR195" s="943"/>
      <c r="AS195" s="943"/>
      <c r="AT195" s="943"/>
      <c r="AU195" s="943"/>
      <c r="AV195" s="943"/>
      <c r="AW195" s="901"/>
      <c r="AX195" s="901"/>
      <c r="AY195" s="901"/>
      <c r="AZ195" s="901"/>
      <c r="BA195" s="901"/>
      <c r="BB195" s="901"/>
      <c r="BC195" s="901"/>
      <c r="BD195" s="901"/>
      <c r="BE195" s="901"/>
      <c r="BF195" s="901"/>
      <c r="BG195" s="901"/>
      <c r="BH195" s="901"/>
      <c r="BI195" s="901"/>
      <c r="BJ195" s="901"/>
      <c r="BK195" s="901"/>
      <c r="BL195" s="901"/>
      <c r="BM195" s="901"/>
      <c r="BN195" s="901"/>
      <c r="BO195" s="901"/>
      <c r="BP195" s="901"/>
      <c r="BQ195" s="901"/>
      <c r="BR195" s="901"/>
      <c r="BS195" s="901"/>
      <c r="BT195" s="901"/>
      <c r="BU195" s="901"/>
      <c r="BV195" s="901"/>
      <c r="BW195" s="901"/>
      <c r="BX195" s="901"/>
      <c r="BY195" s="901"/>
      <c r="BZ195" s="901"/>
      <c r="CA195" s="901"/>
      <c r="CB195" s="901"/>
      <c r="CC195" s="901"/>
      <c r="CD195" s="901"/>
      <c r="CE195" s="901"/>
      <c r="CF195" s="901"/>
      <c r="CG195" s="901"/>
      <c r="CH195" s="901"/>
      <c r="CI195" s="901"/>
      <c r="CJ195" s="901"/>
      <c r="CK195" s="901"/>
      <c r="CL195" s="901"/>
      <c r="CM195" s="901"/>
      <c r="CN195" s="901"/>
      <c r="CO195" s="901"/>
      <c r="CP195" s="901"/>
      <c r="CQ195" s="901"/>
      <c r="CR195" s="901"/>
      <c r="CS195" s="901"/>
      <c r="CT195" s="901"/>
      <c r="CU195" s="901"/>
      <c r="CV195" s="901"/>
      <c r="CW195" s="901"/>
      <c r="CX195" s="901"/>
      <c r="CY195" s="901"/>
      <c r="CZ195" s="901"/>
      <c r="DA195" s="901"/>
      <c r="DB195" s="901"/>
      <c r="DC195" s="901"/>
      <c r="DD195" s="901"/>
      <c r="DE195" s="901"/>
      <c r="DF195" s="901"/>
      <c r="DG195" s="901"/>
      <c r="DH195" s="901"/>
      <c r="DI195" s="901"/>
      <c r="DJ195" s="901"/>
      <c r="DK195" s="901"/>
      <c r="DL195" s="901"/>
      <c r="DM195" s="901"/>
      <c r="DN195" s="901"/>
      <c r="DO195" s="901"/>
      <c r="DP195" s="901"/>
      <c r="DQ195" s="901"/>
      <c r="DR195" s="901"/>
      <c r="DS195" s="901"/>
      <c r="DT195" s="901"/>
      <c r="DU195" s="901"/>
      <c r="DV195" s="901"/>
      <c r="DW195" s="901"/>
      <c r="DX195" s="901"/>
      <c r="DY195" s="901"/>
      <c r="DZ195" s="901"/>
      <c r="EA195" s="901"/>
      <c r="EB195" s="901"/>
      <c r="EC195" s="901"/>
      <c r="ED195" s="901"/>
      <c r="EE195" s="901"/>
      <c r="EF195" s="901"/>
      <c r="EG195" s="901"/>
      <c r="EH195" s="901"/>
      <c r="EI195" s="901"/>
      <c r="EJ195" s="901"/>
      <c r="EK195" s="901"/>
      <c r="EL195" s="901"/>
      <c r="EM195" s="901"/>
      <c r="EN195" s="901"/>
      <c r="EO195" s="901"/>
      <c r="EP195" s="901"/>
      <c r="EQ195" s="901"/>
      <c r="ER195" s="901"/>
      <c r="ES195" s="901"/>
      <c r="ET195" s="901"/>
      <c r="EU195" s="901"/>
      <c r="EV195" s="901"/>
      <c r="EW195" s="901"/>
      <c r="EX195" s="901"/>
      <c r="EY195" s="901"/>
      <c r="EZ195" s="901"/>
      <c r="FA195" s="901"/>
      <c r="FB195" s="901"/>
      <c r="FC195" s="901"/>
      <c r="FD195" s="901"/>
      <c r="FE195" s="901"/>
      <c r="FF195" s="901"/>
      <c r="FG195" s="901"/>
      <c r="FH195" s="901"/>
      <c r="FI195" s="901"/>
      <c r="FJ195" s="901"/>
      <c r="FK195" s="901"/>
      <c r="FL195" s="901"/>
      <c r="FM195" s="901"/>
      <c r="FN195" s="901"/>
      <c r="FO195" s="901"/>
      <c r="FP195" s="901"/>
      <c r="FQ195" s="901"/>
      <c r="FR195" s="901"/>
      <c r="FS195" s="901"/>
      <c r="FT195" s="901"/>
      <c r="FU195" s="901"/>
      <c r="FV195" s="901"/>
      <c r="FW195" s="901"/>
      <c r="FX195" s="901"/>
      <c r="FY195" s="901"/>
      <c r="FZ195" s="901"/>
      <c r="GA195" s="901"/>
      <c r="GB195" s="901"/>
      <c r="GC195" s="901"/>
      <c r="GD195" s="901"/>
      <c r="GE195" s="901"/>
      <c r="GF195" s="901"/>
      <c r="GG195" s="901"/>
      <c r="GH195" s="901"/>
      <c r="GI195" s="901"/>
      <c r="GJ195" s="901"/>
      <c r="GK195" s="901"/>
      <c r="GL195" s="901"/>
      <c r="GM195" s="901"/>
      <c r="GN195" s="901"/>
      <c r="GO195" s="901"/>
      <c r="GP195" s="901"/>
      <c r="GQ195" s="901"/>
      <c r="GR195" s="901"/>
      <c r="GS195" s="901"/>
      <c r="GT195" s="901"/>
      <c r="GU195" s="901"/>
      <c r="GV195" s="901"/>
      <c r="GW195" s="901"/>
      <c r="GX195" s="901"/>
      <c r="GY195" s="901"/>
      <c r="GZ195" s="901"/>
      <c r="HA195" s="901"/>
      <c r="HB195" s="901"/>
      <c r="HC195" s="901"/>
      <c r="HD195" s="901"/>
      <c r="HE195" s="901"/>
      <c r="HF195" s="901"/>
      <c r="HG195" s="901"/>
      <c r="HH195" s="901"/>
      <c r="HI195" s="901"/>
      <c r="HJ195" s="901"/>
      <c r="HK195" s="901"/>
      <c r="HL195" s="901"/>
      <c r="HM195" s="901"/>
      <c r="HN195" s="901"/>
      <c r="HO195" s="901"/>
      <c r="HP195" s="901"/>
      <c r="HQ195" s="901"/>
      <c r="HR195" s="901"/>
      <c r="HS195" s="901"/>
      <c r="HT195" s="901"/>
      <c r="HU195" s="901"/>
      <c r="HV195" s="901"/>
      <c r="HW195" s="901"/>
      <c r="HX195" s="901"/>
      <c r="HY195" s="901"/>
      <c r="HZ195" s="901"/>
      <c r="IA195" s="901"/>
      <c r="IB195" s="901"/>
      <c r="IC195" s="901"/>
      <c r="ID195" s="901"/>
      <c r="IE195" s="901"/>
      <c r="IF195" s="901"/>
      <c r="IG195" s="901"/>
      <c r="IH195" s="901"/>
      <c r="II195" s="901"/>
      <c r="IJ195" s="901"/>
      <c r="IK195" s="901"/>
      <c r="IL195" s="901"/>
      <c r="IM195" s="901"/>
      <c r="IN195" s="901"/>
      <c r="IO195" s="901"/>
      <c r="IP195" s="901"/>
      <c r="IQ195" s="901"/>
      <c r="IR195" s="901"/>
      <c r="IS195" s="901"/>
      <c r="IT195" s="901"/>
      <c r="IU195" s="901"/>
      <c r="IV195" s="901"/>
      <c r="IW195" s="901"/>
      <c r="IX195" s="901"/>
      <c r="IY195" s="901"/>
      <c r="IZ195" s="901"/>
      <c r="JA195" s="901"/>
      <c r="JB195" s="901"/>
      <c r="JC195" s="901"/>
      <c r="JD195" s="901"/>
      <c r="JE195" s="901"/>
      <c r="JF195" s="901"/>
      <c r="JG195" s="901"/>
      <c r="JH195" s="901"/>
      <c r="JI195" s="901"/>
      <c r="JJ195" s="901"/>
      <c r="JK195" s="901"/>
      <c r="JL195" s="901"/>
      <c r="JM195" s="901"/>
      <c r="JN195" s="901"/>
      <c r="JO195" s="901"/>
      <c r="JP195" s="901"/>
      <c r="JQ195" s="901"/>
      <c r="JR195" s="901"/>
      <c r="JS195" s="901"/>
      <c r="JT195" s="901"/>
      <c r="JU195" s="901"/>
      <c r="JV195" s="901"/>
      <c r="JW195" s="901"/>
      <c r="JX195" s="901"/>
      <c r="JY195" s="901"/>
      <c r="JZ195" s="901"/>
      <c r="KA195" s="901"/>
      <c r="KB195" s="901"/>
      <c r="KC195" s="901"/>
      <c r="KD195" s="901"/>
      <c r="KE195" s="901"/>
      <c r="KF195" s="901"/>
      <c r="KG195" s="901"/>
      <c r="KH195" s="901"/>
      <c r="KI195" s="901"/>
      <c r="KJ195" s="901"/>
      <c r="KK195" s="901"/>
      <c r="KL195" s="901"/>
      <c r="KM195" s="901"/>
      <c r="KN195" s="901"/>
      <c r="KO195" s="901"/>
      <c r="KP195" s="901"/>
      <c r="KQ195" s="901"/>
      <c r="KR195" s="901"/>
      <c r="KS195" s="901"/>
      <c r="KT195" s="901"/>
      <c r="KU195" s="901"/>
      <c r="KV195" s="901"/>
      <c r="KW195" s="901"/>
      <c r="KX195" s="901"/>
      <c r="KY195" s="901"/>
      <c r="KZ195" s="901"/>
      <c r="LA195" s="901"/>
      <c r="LB195" s="901"/>
      <c r="LC195" s="901"/>
      <c r="LD195" s="901"/>
      <c r="LE195" s="901"/>
      <c r="LF195" s="901"/>
      <c r="LG195" s="901"/>
      <c r="LH195" s="901"/>
      <c r="LI195" s="901"/>
      <c r="LJ195" s="901"/>
      <c r="LK195" s="901"/>
      <c r="LL195" s="901"/>
      <c r="LM195" s="901"/>
      <c r="LN195" s="901"/>
      <c r="LO195" s="901"/>
      <c r="LP195" s="901"/>
      <c r="LQ195" s="901"/>
      <c r="LR195" s="901"/>
      <c r="LS195" s="901"/>
      <c r="LT195" s="901"/>
      <c r="LU195" s="901"/>
      <c r="LV195" s="901"/>
      <c r="LW195" s="901"/>
      <c r="LX195" s="901"/>
      <c r="LY195" s="901"/>
      <c r="LZ195" s="901"/>
      <c r="MA195" s="901"/>
      <c r="MB195" s="901"/>
      <c r="MC195" s="901"/>
      <c r="MD195" s="901"/>
      <c r="ME195" s="901"/>
      <c r="MF195" s="901"/>
      <c r="MG195" s="901"/>
      <c r="MH195" s="901"/>
      <c r="MI195" s="901"/>
      <c r="MJ195" s="901"/>
      <c r="MK195" s="901"/>
      <c r="ML195" s="901"/>
      <c r="MM195" s="901"/>
      <c r="MN195" s="901"/>
      <c r="MO195" s="901"/>
      <c r="MP195" s="901"/>
      <c r="MQ195" s="901"/>
      <c r="MR195" s="901"/>
      <c r="MS195" s="901"/>
      <c r="MT195" s="901"/>
      <c r="MU195" s="901"/>
      <c r="MV195" s="901"/>
      <c r="MW195" s="901"/>
      <c r="MX195" s="901"/>
      <c r="MY195" s="901"/>
      <c r="MZ195" s="901"/>
      <c r="NA195" s="901"/>
      <c r="NB195" s="901"/>
      <c r="NC195" s="901"/>
      <c r="ND195" s="901"/>
      <c r="NE195" s="901"/>
      <c r="NF195" s="901"/>
      <c r="NG195" s="901"/>
      <c r="NH195" s="901"/>
      <c r="NI195" s="901"/>
      <c r="NJ195" s="901"/>
      <c r="NK195" s="901"/>
      <c r="NL195" s="901"/>
      <c r="NM195" s="901"/>
      <c r="NN195" s="901"/>
      <c r="NO195" s="901"/>
      <c r="NP195" s="901"/>
      <c r="NQ195" s="901"/>
      <c r="NR195" s="901"/>
      <c r="NS195" s="901"/>
      <c r="NT195" s="901"/>
      <c r="NU195" s="901"/>
      <c r="NV195" s="901"/>
      <c r="NW195" s="901"/>
      <c r="NX195" s="901"/>
      <c r="NY195" s="901"/>
      <c r="NZ195" s="901"/>
      <c r="OA195" s="901"/>
      <c r="OB195" s="901"/>
      <c r="OC195" s="901"/>
      <c r="OD195" s="901"/>
      <c r="OE195" s="901"/>
      <c r="OF195" s="901"/>
      <c r="OG195" s="901"/>
      <c r="OH195" s="901"/>
      <c r="OI195" s="901"/>
      <c r="OJ195" s="901"/>
      <c r="OK195" s="901"/>
      <c r="OL195" s="901"/>
      <c r="OM195" s="901"/>
      <c r="ON195" s="901"/>
      <c r="OO195" s="901"/>
      <c r="OP195" s="901"/>
      <c r="OQ195" s="901"/>
      <c r="OR195" s="901"/>
      <c r="OS195" s="901"/>
      <c r="OT195" s="901"/>
      <c r="OU195" s="901"/>
      <c r="OV195" s="901"/>
      <c r="OW195" s="901"/>
      <c r="OX195" s="901"/>
      <c r="OY195" s="901"/>
      <c r="OZ195" s="901"/>
      <c r="PA195" s="901"/>
      <c r="PB195" s="901"/>
      <c r="PC195" s="901"/>
      <c r="PD195" s="901"/>
      <c r="PE195" s="901"/>
      <c r="PF195" s="901"/>
      <c r="PG195" s="901"/>
      <c r="PH195" s="901"/>
      <c r="PI195" s="901"/>
      <c r="PJ195" s="901"/>
      <c r="PK195" s="901"/>
      <c r="PL195" s="901"/>
      <c r="PM195" s="901"/>
      <c r="PN195" s="901"/>
      <c r="PO195" s="901"/>
      <c r="PP195" s="901"/>
      <c r="PQ195" s="901"/>
      <c r="PR195" s="901"/>
      <c r="PS195" s="901"/>
      <c r="PT195" s="901"/>
      <c r="PU195" s="901"/>
      <c r="PV195" s="901"/>
      <c r="PW195" s="901"/>
      <c r="PX195" s="901"/>
      <c r="PY195" s="901"/>
      <c r="PZ195" s="901"/>
      <c r="QA195" s="901"/>
      <c r="QB195" s="901"/>
      <c r="QC195" s="901"/>
      <c r="QD195" s="901"/>
      <c r="QE195" s="901"/>
      <c r="QF195" s="901"/>
      <c r="QG195" s="901"/>
      <c r="QH195" s="901"/>
      <c r="QI195" s="901"/>
      <c r="QJ195" s="901"/>
      <c r="QK195" s="901"/>
      <c r="QL195" s="901"/>
      <c r="QM195" s="901"/>
      <c r="QN195" s="901"/>
      <c r="QO195" s="901"/>
      <c r="QP195" s="901"/>
      <c r="QQ195" s="901"/>
      <c r="QR195" s="901"/>
      <c r="QS195" s="901"/>
      <c r="QT195" s="901"/>
      <c r="QU195" s="901"/>
      <c r="QV195" s="901"/>
      <c r="QW195" s="901"/>
      <c r="QX195" s="901"/>
      <c r="QY195" s="901"/>
      <c r="QZ195" s="901"/>
      <c r="RA195" s="901"/>
      <c r="RB195" s="901"/>
      <c r="RC195" s="901"/>
      <c r="RD195" s="901"/>
      <c r="RE195" s="901"/>
      <c r="RF195" s="901"/>
      <c r="RG195" s="901"/>
      <c r="RH195" s="901"/>
      <c r="RI195" s="901"/>
      <c r="RJ195" s="901"/>
      <c r="RK195" s="901"/>
      <c r="RL195" s="901"/>
      <c r="RM195" s="901"/>
      <c r="RN195" s="901"/>
      <c r="RO195" s="901"/>
      <c r="RP195" s="901"/>
      <c r="RQ195" s="901"/>
      <c r="RR195" s="901"/>
      <c r="RS195" s="901"/>
      <c r="RT195" s="901"/>
      <c r="RU195" s="901"/>
      <c r="RV195" s="901"/>
      <c r="RW195" s="901"/>
      <c r="RX195" s="901"/>
      <c r="RY195" s="901"/>
      <c r="RZ195" s="901"/>
      <c r="SA195" s="901"/>
      <c r="SB195" s="901"/>
      <c r="SC195" s="901"/>
      <c r="SD195" s="901"/>
      <c r="SE195" s="901"/>
      <c r="SF195" s="901"/>
      <c r="SG195" s="901"/>
      <c r="SH195" s="901"/>
      <c r="SI195" s="901"/>
      <c r="SJ195" s="901"/>
      <c r="SK195" s="901"/>
      <c r="SL195" s="901"/>
      <c r="SM195" s="901"/>
      <c r="SN195" s="901"/>
      <c r="SO195" s="901"/>
      <c r="SP195" s="901"/>
      <c r="SQ195" s="901"/>
      <c r="SR195" s="901"/>
      <c r="SS195" s="901"/>
      <c r="ST195" s="901"/>
      <c r="SU195" s="901"/>
      <c r="SV195" s="901"/>
      <c r="SW195" s="901"/>
      <c r="SX195" s="901"/>
      <c r="SY195" s="901"/>
      <c r="SZ195" s="901"/>
      <c r="TA195" s="901"/>
      <c r="TB195" s="901"/>
      <c r="TC195" s="901"/>
      <c r="TD195" s="901"/>
      <c r="TE195" s="901"/>
      <c r="TF195" s="901"/>
      <c r="TG195" s="901"/>
      <c r="TH195" s="901"/>
      <c r="TI195" s="901"/>
      <c r="TJ195" s="901"/>
      <c r="TK195" s="901"/>
      <c r="TL195" s="901"/>
      <c r="TM195" s="901"/>
      <c r="TN195" s="901"/>
      <c r="TO195" s="901"/>
      <c r="TP195" s="901"/>
      <c r="TQ195" s="901"/>
      <c r="TR195" s="901"/>
      <c r="TS195" s="901"/>
      <c r="TT195" s="901"/>
      <c r="TU195" s="901"/>
      <c r="TV195" s="901"/>
      <c r="TW195" s="901"/>
      <c r="TX195" s="901"/>
      <c r="TY195" s="901"/>
      <c r="TZ195" s="901"/>
      <c r="UA195" s="901"/>
      <c r="UB195" s="901"/>
      <c r="UC195" s="901"/>
      <c r="UD195" s="901"/>
      <c r="UE195" s="901"/>
      <c r="UF195" s="901"/>
      <c r="UG195" s="901"/>
      <c r="UH195" s="901"/>
      <c r="UI195" s="901"/>
      <c r="UJ195" s="901"/>
      <c r="UK195" s="901"/>
      <c r="UL195" s="901"/>
      <c r="UM195" s="901"/>
      <c r="UN195" s="901"/>
      <c r="UO195" s="901"/>
      <c r="UP195" s="901"/>
      <c r="UQ195" s="901"/>
      <c r="UR195" s="901"/>
      <c r="US195" s="901"/>
      <c r="UT195" s="901"/>
      <c r="UU195" s="901"/>
      <c r="UV195" s="901"/>
      <c r="UW195" s="901"/>
      <c r="UX195" s="901"/>
      <c r="UY195" s="901"/>
      <c r="UZ195" s="901"/>
      <c r="VA195" s="901"/>
      <c r="VB195" s="901"/>
      <c r="VC195" s="901"/>
      <c r="VD195" s="901"/>
      <c r="VE195" s="901"/>
      <c r="VF195" s="901"/>
      <c r="VG195" s="901"/>
      <c r="VH195" s="901"/>
      <c r="VI195" s="901"/>
      <c r="VJ195" s="901"/>
      <c r="VK195" s="901"/>
      <c r="VL195" s="901"/>
      <c r="VM195" s="901"/>
      <c r="VN195" s="901"/>
      <c r="VO195" s="901"/>
      <c r="VP195" s="901"/>
      <c r="VQ195" s="901"/>
      <c r="VR195" s="901"/>
      <c r="VS195" s="901"/>
      <c r="VT195" s="901"/>
      <c r="VU195" s="901"/>
      <c r="VV195" s="901"/>
      <c r="VW195" s="901"/>
      <c r="VX195" s="901"/>
      <c r="VY195" s="901"/>
      <c r="VZ195" s="901"/>
      <c r="WA195" s="901"/>
      <c r="WB195" s="901"/>
      <c r="WC195" s="901"/>
      <c r="WD195" s="901"/>
      <c r="WE195" s="901"/>
      <c r="WF195" s="901"/>
      <c r="WG195" s="901"/>
      <c r="WH195" s="901"/>
      <c r="WI195" s="901"/>
      <c r="WJ195" s="901"/>
      <c r="WK195" s="901"/>
      <c r="WL195" s="901"/>
      <c r="WM195" s="901"/>
      <c r="WN195" s="901"/>
      <c r="WO195" s="901"/>
      <c r="WP195" s="901"/>
      <c r="WQ195" s="901"/>
      <c r="WR195" s="901"/>
      <c r="WS195" s="901"/>
      <c r="WT195" s="901"/>
      <c r="WU195" s="901"/>
      <c r="WV195" s="901"/>
      <c r="WW195" s="901"/>
      <c r="WX195" s="901"/>
      <c r="WY195" s="901"/>
      <c r="WZ195" s="901"/>
      <c r="XA195" s="901"/>
      <c r="XB195" s="901"/>
      <c r="XC195" s="901"/>
      <c r="XD195" s="901"/>
      <c r="XE195" s="901"/>
      <c r="XF195" s="901"/>
      <c r="XG195" s="901"/>
      <c r="XH195" s="901"/>
      <c r="XI195" s="901"/>
      <c r="XJ195" s="901"/>
      <c r="XK195" s="901"/>
      <c r="XL195" s="901"/>
      <c r="XM195" s="901"/>
      <c r="XN195" s="901"/>
      <c r="XO195" s="901"/>
      <c r="XP195" s="901"/>
      <c r="XQ195" s="901"/>
      <c r="XR195" s="901"/>
      <c r="XS195" s="901"/>
      <c r="XT195" s="901"/>
      <c r="XU195" s="901"/>
      <c r="XV195" s="901"/>
      <c r="XW195" s="901"/>
      <c r="XX195" s="901"/>
      <c r="XY195" s="901"/>
      <c r="XZ195" s="901"/>
      <c r="YA195" s="901"/>
      <c r="YB195" s="901"/>
      <c r="YC195" s="901"/>
      <c r="YD195" s="901"/>
      <c r="YE195" s="901"/>
      <c r="YF195" s="901"/>
      <c r="YG195" s="901"/>
      <c r="YH195" s="901"/>
      <c r="YI195" s="901"/>
      <c r="YJ195" s="901"/>
      <c r="YK195" s="901"/>
      <c r="YL195" s="901"/>
      <c r="YM195" s="901"/>
      <c r="YN195" s="901"/>
      <c r="YO195" s="901"/>
      <c r="YP195" s="901"/>
      <c r="YQ195" s="901"/>
      <c r="YR195" s="901"/>
      <c r="YS195" s="901"/>
      <c r="YT195" s="901"/>
      <c r="YU195" s="901"/>
      <c r="YV195" s="901"/>
      <c r="YW195" s="901"/>
      <c r="YX195" s="901"/>
      <c r="YY195" s="901"/>
      <c r="YZ195" s="901"/>
      <c r="ZA195" s="901"/>
      <c r="ZB195" s="901"/>
      <c r="ZC195" s="901"/>
      <c r="ZD195" s="901"/>
      <c r="ZE195" s="901"/>
      <c r="ZF195" s="901"/>
      <c r="ZG195" s="901"/>
      <c r="ZH195" s="901"/>
      <c r="ZI195" s="901"/>
      <c r="ZJ195" s="901"/>
      <c r="ZK195" s="901"/>
      <c r="ZL195" s="901"/>
      <c r="ZM195" s="901"/>
      <c r="ZN195" s="901"/>
      <c r="ZO195" s="901"/>
      <c r="ZP195" s="901"/>
      <c r="ZQ195" s="901"/>
      <c r="ZR195" s="901"/>
      <c r="ZS195" s="901"/>
      <c r="ZT195" s="901"/>
      <c r="ZU195" s="901"/>
      <c r="ZV195" s="901"/>
      <c r="ZW195" s="901"/>
      <c r="ZX195" s="901"/>
      <c r="ZY195" s="901"/>
      <c r="ZZ195" s="901"/>
      <c r="AAA195" s="901"/>
      <c r="AAB195" s="901"/>
      <c r="AAC195" s="901"/>
      <c r="AAD195" s="901"/>
      <c r="AAE195" s="901"/>
      <c r="AAF195" s="901"/>
      <c r="AAG195" s="901"/>
      <c r="AAH195" s="901"/>
      <c r="AAI195" s="901"/>
      <c r="AAJ195" s="901"/>
      <c r="AAK195" s="901"/>
      <c r="AAL195" s="901"/>
      <c r="AAM195" s="901"/>
      <c r="AAN195" s="901"/>
      <c r="AAO195" s="901"/>
      <c r="AAP195" s="901"/>
      <c r="AAQ195" s="901"/>
      <c r="AAR195" s="901"/>
      <c r="AAS195" s="901"/>
      <c r="AAT195" s="901"/>
      <c r="AAU195" s="901"/>
      <c r="AAV195" s="901"/>
      <c r="AAW195" s="901"/>
      <c r="AAX195" s="901"/>
      <c r="AAY195" s="901"/>
      <c r="AAZ195" s="901"/>
      <c r="ABA195" s="901"/>
      <c r="ABB195" s="901"/>
      <c r="ABC195" s="901"/>
      <c r="ABD195" s="901"/>
      <c r="ABE195" s="901"/>
      <c r="ABF195" s="901"/>
      <c r="ABG195" s="901"/>
      <c r="ABH195" s="901"/>
      <c r="ABI195" s="901"/>
      <c r="ABJ195" s="901"/>
      <c r="ABK195" s="901"/>
      <c r="ABL195" s="901"/>
      <c r="ABM195" s="901"/>
      <c r="ABN195" s="901"/>
      <c r="ABO195" s="901"/>
      <c r="ABP195" s="901"/>
      <c r="ABQ195" s="901"/>
      <c r="ABR195" s="901"/>
      <c r="ABS195" s="901"/>
      <c r="ABT195" s="901"/>
      <c r="ABU195" s="901"/>
      <c r="ABV195" s="901"/>
      <c r="ABW195" s="901"/>
      <c r="ABX195" s="901"/>
      <c r="ABY195" s="901"/>
      <c r="ABZ195" s="901"/>
      <c r="ACA195" s="901"/>
      <c r="ACB195" s="901"/>
      <c r="ACC195" s="901"/>
      <c r="ACD195" s="901"/>
      <c r="ACE195" s="901"/>
      <c r="ACF195" s="901"/>
      <c r="ACG195" s="901"/>
      <c r="ACH195" s="901"/>
      <c r="ACI195" s="901"/>
      <c r="ACJ195" s="901"/>
      <c r="ACK195" s="901"/>
      <c r="ACL195" s="901"/>
      <c r="ACM195" s="901"/>
      <c r="ACN195" s="901"/>
      <c r="ACO195" s="901"/>
      <c r="ACP195" s="901"/>
      <c r="ACQ195" s="901"/>
      <c r="ACR195" s="901"/>
      <c r="ACS195" s="901"/>
      <c r="ACT195" s="901"/>
      <c r="ACU195" s="901"/>
      <c r="ACV195" s="901"/>
      <c r="ACW195" s="901"/>
      <c r="ACX195" s="901"/>
      <c r="ACY195" s="901"/>
      <c r="ACZ195" s="901"/>
      <c r="ADA195" s="901"/>
      <c r="ADB195" s="901"/>
      <c r="ADC195" s="901"/>
      <c r="ADD195" s="901"/>
      <c r="ADE195" s="901"/>
      <c r="ADF195" s="901"/>
      <c r="ADG195" s="901"/>
      <c r="ADH195" s="901"/>
      <c r="ADI195" s="901"/>
      <c r="ADJ195" s="901"/>
      <c r="ADK195" s="901"/>
      <c r="ADL195" s="901"/>
      <c r="ADM195" s="901"/>
      <c r="ADN195" s="901"/>
      <c r="ADO195" s="901"/>
      <c r="ADP195" s="901"/>
      <c r="ADQ195" s="901"/>
      <c r="ADR195" s="901"/>
      <c r="ADS195" s="901"/>
      <c r="ADT195" s="901"/>
      <c r="ADU195" s="901"/>
      <c r="ADV195" s="901"/>
      <c r="ADW195" s="901"/>
      <c r="ADX195" s="901"/>
      <c r="ADY195" s="901"/>
      <c r="ADZ195" s="901"/>
      <c r="AEA195" s="901"/>
      <c r="AEB195" s="901"/>
      <c r="AEC195" s="901"/>
      <c r="AED195" s="901"/>
      <c r="AEE195" s="901"/>
      <c r="AEF195" s="901"/>
      <c r="AEG195" s="901"/>
      <c r="AEH195" s="901"/>
      <c r="AEI195" s="901"/>
      <c r="AEJ195" s="901"/>
      <c r="AEK195" s="901"/>
      <c r="AEL195" s="901"/>
      <c r="AEM195" s="901"/>
      <c r="AEN195" s="901"/>
      <c r="AEO195" s="901"/>
      <c r="AEP195" s="901"/>
      <c r="AEQ195" s="901"/>
      <c r="AER195" s="901"/>
      <c r="AES195" s="901"/>
      <c r="AET195" s="901"/>
      <c r="AEU195" s="901"/>
      <c r="AEV195" s="901"/>
      <c r="AEW195" s="901"/>
      <c r="AEX195" s="901"/>
      <c r="AEY195" s="901"/>
      <c r="AEZ195" s="901"/>
      <c r="AFA195" s="901"/>
      <c r="AFB195" s="901"/>
      <c r="AFC195" s="901"/>
      <c r="AFD195" s="901"/>
      <c r="AFE195" s="901"/>
      <c r="AFF195" s="901"/>
      <c r="AFG195" s="901"/>
      <c r="AFH195" s="901"/>
      <c r="AFI195" s="901"/>
      <c r="AFJ195" s="901"/>
      <c r="AFK195" s="901"/>
      <c r="AFL195" s="901"/>
      <c r="AFM195" s="901"/>
      <c r="AFN195" s="901"/>
      <c r="AFO195" s="901"/>
      <c r="AFP195" s="901"/>
      <c r="AFQ195" s="901"/>
      <c r="AFR195" s="901"/>
      <c r="AFS195" s="901"/>
      <c r="AFT195" s="901"/>
      <c r="AFU195" s="901"/>
      <c r="AFV195" s="901"/>
      <c r="AFW195" s="901"/>
      <c r="AFX195" s="901"/>
      <c r="AFY195" s="901"/>
      <c r="AFZ195" s="901"/>
      <c r="AGA195" s="901"/>
      <c r="AGB195" s="901"/>
      <c r="AGC195" s="901"/>
      <c r="AGD195" s="901"/>
      <c r="AGE195" s="901"/>
      <c r="AGF195" s="901"/>
      <c r="AGG195" s="901"/>
      <c r="AGH195" s="901"/>
      <c r="AGI195" s="901"/>
      <c r="AGJ195" s="901"/>
      <c r="AGK195" s="901"/>
      <c r="AGL195" s="901"/>
      <c r="AGM195" s="901"/>
      <c r="AGN195" s="901"/>
      <c r="AGO195" s="901"/>
      <c r="AGP195" s="901"/>
      <c r="AGQ195" s="901"/>
      <c r="AGR195" s="901"/>
      <c r="AGS195" s="901"/>
      <c r="AGT195" s="901"/>
      <c r="AGU195" s="901"/>
      <c r="AGV195" s="901"/>
      <c r="AGW195" s="901"/>
      <c r="AGX195" s="901"/>
      <c r="AGY195" s="901"/>
      <c r="AGZ195" s="901"/>
      <c r="AHA195" s="901"/>
      <c r="AHB195" s="901"/>
      <c r="AHC195" s="901"/>
      <c r="AHD195" s="901"/>
      <c r="AHE195" s="901"/>
      <c r="AHF195" s="901"/>
      <c r="AHG195" s="901"/>
      <c r="AHH195" s="901"/>
      <c r="AHI195" s="901"/>
      <c r="AHJ195" s="901"/>
      <c r="AHK195" s="901"/>
      <c r="AHL195" s="901"/>
      <c r="AHM195" s="901"/>
      <c r="AHN195" s="901"/>
      <c r="AHO195" s="901"/>
      <c r="AHP195" s="901"/>
      <c r="AHQ195" s="901"/>
      <c r="AHR195" s="901"/>
      <c r="AHS195" s="901"/>
      <c r="AHT195" s="901"/>
      <c r="AHU195" s="901"/>
      <c r="AHV195" s="901"/>
      <c r="AHW195" s="901"/>
      <c r="AHX195" s="901"/>
      <c r="AHY195" s="901"/>
      <c r="AHZ195" s="901"/>
      <c r="AIA195" s="901"/>
      <c r="AIB195" s="901"/>
      <c r="AIC195" s="901"/>
      <c r="AID195" s="901"/>
      <c r="AIE195" s="901"/>
      <c r="AIF195" s="901"/>
      <c r="AIG195" s="901"/>
      <c r="AIH195" s="901"/>
      <c r="AII195" s="901"/>
      <c r="AIJ195" s="901"/>
      <c r="AIK195" s="901"/>
      <c r="AIL195" s="901"/>
      <c r="AIM195" s="901"/>
      <c r="AIN195" s="901"/>
      <c r="AIO195" s="901"/>
      <c r="AIP195" s="901"/>
      <c r="AIQ195" s="901"/>
      <c r="AIR195" s="901"/>
      <c r="AIS195" s="901"/>
      <c r="AIT195" s="901"/>
      <c r="AIU195" s="901"/>
      <c r="AIV195" s="901"/>
      <c r="AIW195" s="901"/>
      <c r="AIX195" s="901"/>
      <c r="AIY195" s="901"/>
      <c r="AIZ195" s="901"/>
      <c r="AJA195" s="901"/>
      <c r="AJB195" s="901"/>
      <c r="AJC195" s="901"/>
      <c r="AJD195" s="901"/>
      <c r="AJE195" s="901"/>
      <c r="AJF195" s="901"/>
      <c r="AJG195" s="901"/>
      <c r="AJH195" s="901"/>
      <c r="AJI195" s="901"/>
      <c r="AJJ195" s="901"/>
      <c r="AJK195" s="901"/>
      <c r="AJL195" s="901"/>
      <c r="AJM195" s="901"/>
      <c r="AJN195" s="901"/>
      <c r="AJO195" s="901"/>
      <c r="AJP195" s="901"/>
      <c r="AJQ195" s="901"/>
      <c r="AJR195" s="901"/>
      <c r="AJS195" s="901"/>
      <c r="AJT195" s="901"/>
      <c r="AJU195" s="901"/>
      <c r="AJV195" s="901"/>
      <c r="AJW195" s="901"/>
      <c r="AJX195" s="901"/>
      <c r="AJY195" s="901"/>
      <c r="AJZ195" s="901"/>
      <c r="AKA195" s="901"/>
      <c r="AKB195" s="901"/>
      <c r="AKC195" s="901"/>
      <c r="AKD195" s="901"/>
      <c r="AKE195" s="901"/>
      <c r="AKF195" s="901"/>
      <c r="AKG195" s="901"/>
      <c r="AKH195" s="901"/>
      <c r="AKI195" s="901"/>
      <c r="AKJ195" s="901"/>
      <c r="AKK195" s="901"/>
      <c r="AKL195" s="901"/>
      <c r="AKM195" s="901"/>
      <c r="AKN195" s="901"/>
      <c r="AKO195" s="901"/>
      <c r="AKP195" s="901"/>
      <c r="AKQ195" s="901"/>
      <c r="AKR195" s="901"/>
      <c r="AKS195" s="901"/>
      <c r="AKT195" s="901"/>
      <c r="AKU195" s="901"/>
      <c r="AKV195" s="901"/>
      <c r="AKW195" s="901"/>
      <c r="AKX195" s="901"/>
      <c r="AKY195" s="901"/>
      <c r="AKZ195" s="901"/>
      <c r="ALA195" s="901"/>
      <c r="ALB195" s="901"/>
      <c r="ALC195" s="901"/>
      <c r="ALD195" s="901"/>
      <c r="ALE195" s="901"/>
      <c r="ALF195" s="901"/>
      <c r="ALG195" s="901"/>
      <c r="ALH195" s="901"/>
      <c r="ALI195" s="901"/>
      <c r="ALJ195" s="901"/>
      <c r="ALK195" s="901"/>
      <c r="ALL195" s="901"/>
      <c r="ALM195" s="901"/>
      <c r="ALN195" s="901"/>
      <c r="ALO195" s="901"/>
      <c r="ALP195" s="901"/>
      <c r="ALQ195" s="901"/>
      <c r="ALR195" s="901"/>
      <c r="ALS195" s="901"/>
      <c r="ALT195" s="901"/>
      <c r="ALU195" s="901"/>
      <c r="ALV195" s="901"/>
      <c r="ALW195" s="901"/>
      <c r="ALX195" s="901"/>
      <c r="ALY195" s="901"/>
      <c r="ALZ195" s="901"/>
      <c r="AMA195" s="901"/>
      <c r="AMB195" s="901"/>
      <c r="AMC195" s="901"/>
      <c r="AMD195" s="901"/>
      <c r="AME195" s="901"/>
      <c r="AMF195" s="901"/>
      <c r="AMG195" s="901"/>
      <c r="AMH195" s="901"/>
      <c r="AMI195" s="901"/>
      <c r="AMJ195" s="901"/>
      <c r="AMK195" s="901"/>
      <c r="AML195" s="901"/>
    </row>
    <row r="196" spans="1:1026" ht="15">
      <c r="A196" s="80">
        <v>5</v>
      </c>
      <c r="B196" s="14" t="s">
        <v>16</v>
      </c>
      <c r="C196" s="14">
        <v>2</v>
      </c>
      <c r="D196" s="14" t="s">
        <v>16</v>
      </c>
      <c r="E196" s="15" t="s">
        <v>88</v>
      </c>
      <c r="F196" s="14" t="s">
        <v>16</v>
      </c>
      <c r="G196" s="416" t="s">
        <v>84</v>
      </c>
      <c r="H196" s="251" t="s">
        <v>183</v>
      </c>
      <c r="I196" s="396"/>
      <c r="J196" s="321"/>
      <c r="K196" s="320">
        <f>ROUNDUP(((K183+K184+K185+K186+K187+K188+K189)*340/400)*0.02,-2)+300</f>
        <v>1600</v>
      </c>
      <c r="L196" s="321">
        <v>1002.07</v>
      </c>
      <c r="M196" s="320">
        <f>ROUNDUP(((M183+M184+M185+M186+M187+M188+M189)*340/400)*0.02,-2)+300</f>
        <v>1700</v>
      </c>
      <c r="N196" s="321">
        <v>1002.07</v>
      </c>
      <c r="O196" s="322">
        <f>ROUNDUP(((O183+O184+O185+O186+O187+O188+O189)*340/400)*0.02,-2)+300</f>
        <v>1700</v>
      </c>
      <c r="P196" s="323">
        <v>0</v>
      </c>
      <c r="Q196" s="322">
        <v>1700</v>
      </c>
      <c r="R196" s="391">
        <v>0</v>
      </c>
      <c r="S196" s="324">
        <f>ROUNDUP(((S183+S184+S185+S186+S187+S188+S189)*340/400)*0.02,-2)+300</f>
        <v>1800</v>
      </c>
      <c r="T196" s="324">
        <f>ROUNDUP(((T183+T184+T185+T186+T187+T188+T189)*340/400)*0.02,-2)+300</f>
        <v>1800</v>
      </c>
      <c r="U196" s="324">
        <v>-731.4</v>
      </c>
      <c r="V196" s="324">
        <f>ROUNDUP(((V183+V184+V185+V186+V187+V188+V189)*340/400)*0.02,-2)+300</f>
        <v>1800</v>
      </c>
      <c r="W196" s="325">
        <v>-940.24</v>
      </c>
      <c r="X196" s="326">
        <f>ROUNDUP(((X183+X184+X185+X186+X187+X188+X189)*340/400)*0.02,-2)+300</f>
        <v>1900</v>
      </c>
      <c r="Y196" s="116">
        <v>-487.26</v>
      </c>
      <c r="Z196" s="418">
        <f>ROUNDUP(((Z183+Z184+Z185+Z186+Z187+Z188+Z189)*340/400)*0.02,-2)+300</f>
        <v>1900</v>
      </c>
      <c r="AA196" s="469">
        <v>-1235.3800000000001</v>
      </c>
      <c r="AB196" s="418">
        <f>ROUNDUP(((AB183+AB184+AB185+AB186+AB187+AB188+AB189)*340/400)*0.02,-2)+300</f>
        <v>1900</v>
      </c>
      <c r="AC196" s="469">
        <v>-1235.3800000000001</v>
      </c>
      <c r="AD196" s="418">
        <v>1400</v>
      </c>
      <c r="AE196" s="469">
        <v>-1499.09</v>
      </c>
      <c r="AF196" s="418">
        <v>1400</v>
      </c>
      <c r="AG196" s="763">
        <v>-768.46</v>
      </c>
      <c r="AH196" s="418">
        <v>1400</v>
      </c>
      <c r="AI196" s="418">
        <v>1400</v>
      </c>
      <c r="AJ196" s="418">
        <v>1400</v>
      </c>
      <c r="AK196" s="732" t="s">
        <v>221</v>
      </c>
      <c r="AL196" s="514"/>
      <c r="AM196" s="106"/>
      <c r="AN196" s="106"/>
      <c r="AO196" s="65"/>
      <c r="AP196" s="65"/>
      <c r="AQ196" s="65"/>
      <c r="AR196" s="65"/>
      <c r="AS196" s="65"/>
      <c r="AT196" s="65"/>
      <c r="AU196" s="65"/>
      <c r="AV196" s="65"/>
    </row>
    <row r="197" spans="1:1026">
      <c r="A197" s="80">
        <v>5</v>
      </c>
      <c r="B197" s="14" t="s">
        <v>16</v>
      </c>
      <c r="C197" s="14">
        <v>2</v>
      </c>
      <c r="D197" s="14" t="s">
        <v>16</v>
      </c>
      <c r="E197" s="15" t="s">
        <v>88</v>
      </c>
      <c r="F197" s="14" t="s">
        <v>16</v>
      </c>
      <c r="G197" s="81" t="s">
        <v>86</v>
      </c>
      <c r="H197" s="251" t="s">
        <v>222</v>
      </c>
      <c r="I197" s="387"/>
      <c r="J197" s="388"/>
      <c r="K197" s="389">
        <v>1000</v>
      </c>
      <c r="L197" s="388">
        <v>65.08</v>
      </c>
      <c r="M197" s="389">
        <v>1000</v>
      </c>
      <c r="N197" s="388">
        <v>634.55999999999995</v>
      </c>
      <c r="O197" s="390">
        <v>1000</v>
      </c>
      <c r="P197" s="391">
        <v>0</v>
      </c>
      <c r="Q197" s="390">
        <v>1000</v>
      </c>
      <c r="R197" s="391">
        <v>0</v>
      </c>
      <c r="S197" s="393">
        <v>1000</v>
      </c>
      <c r="T197" s="393">
        <v>1000</v>
      </c>
      <c r="U197" s="393">
        <v>0</v>
      </c>
      <c r="V197" s="393">
        <v>1000</v>
      </c>
      <c r="W197" s="394">
        <v>0</v>
      </c>
      <c r="X197" s="395">
        <v>1000</v>
      </c>
      <c r="Y197" s="102">
        <v>-262.8</v>
      </c>
      <c r="Z197" s="395">
        <v>1000</v>
      </c>
      <c r="AA197" s="470">
        <v>0</v>
      </c>
      <c r="AB197" s="395">
        <v>500</v>
      </c>
      <c r="AC197" s="470">
        <v>0</v>
      </c>
      <c r="AD197" s="395">
        <v>500</v>
      </c>
      <c r="AE197" s="470">
        <v>-39.9</v>
      </c>
      <c r="AF197" s="395">
        <v>500</v>
      </c>
      <c r="AG197" s="764">
        <v>-19.28</v>
      </c>
      <c r="AH197" s="395">
        <v>500</v>
      </c>
      <c r="AI197" s="395">
        <v>500</v>
      </c>
      <c r="AJ197" s="395">
        <v>500</v>
      </c>
      <c r="AK197" s="706"/>
      <c r="AL197" s="514"/>
      <c r="AM197" s="106"/>
      <c r="AN197" s="106"/>
      <c r="AO197" s="65"/>
      <c r="AP197" s="65"/>
      <c r="AQ197" s="65"/>
      <c r="AR197" s="65"/>
      <c r="AS197" s="65"/>
      <c r="AT197" s="65"/>
      <c r="AU197" s="65"/>
      <c r="AV197" s="65"/>
    </row>
    <row r="198" spans="1:1026">
      <c r="A198" s="80">
        <v>5</v>
      </c>
      <c r="B198" s="14" t="s">
        <v>16</v>
      </c>
      <c r="C198" s="14">
        <v>2</v>
      </c>
      <c r="D198" s="14" t="s">
        <v>16</v>
      </c>
      <c r="E198" s="15" t="s">
        <v>88</v>
      </c>
      <c r="F198" s="14" t="s">
        <v>16</v>
      </c>
      <c r="G198" s="81" t="s">
        <v>73</v>
      </c>
      <c r="H198" s="251" t="s">
        <v>223</v>
      </c>
      <c r="I198" s="387"/>
      <c r="J198" s="388"/>
      <c r="K198" s="389">
        <v>1000</v>
      </c>
      <c r="L198" s="388">
        <v>0</v>
      </c>
      <c r="M198" s="389">
        <v>1000</v>
      </c>
      <c r="N198" s="388">
        <v>0</v>
      </c>
      <c r="O198" s="390">
        <v>1000</v>
      </c>
      <c r="P198" s="391">
        <v>0</v>
      </c>
      <c r="Q198" s="390">
        <v>1000</v>
      </c>
      <c r="R198" s="391">
        <v>0</v>
      </c>
      <c r="S198" s="393">
        <v>1000</v>
      </c>
      <c r="T198" s="393">
        <v>1000</v>
      </c>
      <c r="U198" s="393">
        <v>0</v>
      </c>
      <c r="V198" s="393">
        <v>1000</v>
      </c>
      <c r="W198" s="394">
        <v>0</v>
      </c>
      <c r="X198" s="395">
        <v>1000</v>
      </c>
      <c r="Y198" s="102">
        <v>0</v>
      </c>
      <c r="Z198" s="395">
        <v>1000</v>
      </c>
      <c r="AA198" s="470">
        <v>0</v>
      </c>
      <c r="AB198" s="395">
        <v>500</v>
      </c>
      <c r="AC198" s="470">
        <v>0</v>
      </c>
      <c r="AD198" s="395">
        <v>500</v>
      </c>
      <c r="AE198" s="470"/>
      <c r="AF198" s="395">
        <v>500</v>
      </c>
      <c r="AG198" s="764"/>
      <c r="AH198" s="395">
        <v>500</v>
      </c>
      <c r="AI198" s="395">
        <v>500</v>
      </c>
      <c r="AJ198" s="395">
        <v>500</v>
      </c>
      <c r="AK198" s="706"/>
      <c r="AM198" s="106"/>
      <c r="AN198" s="106"/>
    </row>
    <row r="199" spans="1:1026">
      <c r="A199" s="144"/>
      <c r="B199" s="680"/>
      <c r="C199" s="680"/>
      <c r="D199" s="680"/>
      <c r="E199" s="676"/>
      <c r="F199" s="680"/>
      <c r="G199" s="145"/>
      <c r="H199" s="146" t="s">
        <v>224</v>
      </c>
      <c r="I199" s="265">
        <f t="shared" ref="I199:O199" si="77">SUM(I194:I198)</f>
        <v>0</v>
      </c>
      <c r="J199" s="266">
        <f t="shared" si="77"/>
        <v>0</v>
      </c>
      <c r="K199" s="147">
        <f t="shared" si="77"/>
        <v>31000</v>
      </c>
      <c r="L199" s="266">
        <f t="shared" si="77"/>
        <v>17769.88</v>
      </c>
      <c r="M199" s="147">
        <f t="shared" si="77"/>
        <v>32200</v>
      </c>
      <c r="N199" s="148">
        <f t="shared" si="77"/>
        <v>18611.560000000001</v>
      </c>
      <c r="O199" s="149">
        <f t="shared" si="77"/>
        <v>31700</v>
      </c>
      <c r="P199" s="150">
        <f>SUM(P195:P198)</f>
        <v>846.49</v>
      </c>
      <c r="Q199" s="149">
        <v>32000</v>
      </c>
      <c r="R199" s="150">
        <f>SUM(R195:R198)</f>
        <v>1263.99</v>
      </c>
      <c r="S199" s="151">
        <f>SUM(S194:S198)</f>
        <v>32800</v>
      </c>
      <c r="T199" s="151">
        <f>SUM(T194:T198)</f>
        <v>32800</v>
      </c>
      <c r="U199" s="151"/>
      <c r="V199" s="151">
        <f>SUM(V194:V198)</f>
        <v>32800</v>
      </c>
      <c r="W199" s="152">
        <v>-18300.93</v>
      </c>
      <c r="X199" s="153">
        <f>SUM(X195:X198)</f>
        <v>36200</v>
      </c>
      <c r="Y199" s="190">
        <v>-10374.68</v>
      </c>
      <c r="Z199" s="153">
        <f>SUM(Z195:Z198)</f>
        <v>36200</v>
      </c>
      <c r="AA199" s="153">
        <f>SUM(AA195:AA198)</f>
        <v>-26543.57</v>
      </c>
      <c r="AB199" s="153">
        <f>SUM(AB195:AB198)</f>
        <v>35200</v>
      </c>
      <c r="AC199" s="155">
        <v>-26543.57</v>
      </c>
      <c r="AD199" s="153">
        <f>SUM(AD195:AD198)</f>
        <v>30900</v>
      </c>
      <c r="AE199" s="153">
        <f t="shared" ref="AE199" si="78">SUM(AE195:AE198)</f>
        <v>-29854.230000000003</v>
      </c>
      <c r="AF199" s="153">
        <f>SUM(AF195:AF198)</f>
        <v>30900</v>
      </c>
      <c r="AG199" s="153">
        <f t="shared" ref="AG199" si="79">SUM(AG195:AG198)</f>
        <v>-15785.090000000002</v>
      </c>
      <c r="AH199" s="153">
        <f>SUM(AH195:AH198)</f>
        <v>30900</v>
      </c>
      <c r="AI199" s="153">
        <f>SUM(AI195:AI198)</f>
        <v>31400</v>
      </c>
      <c r="AJ199" s="153">
        <f>SUM(AJ195:AJ198)</f>
        <v>31400</v>
      </c>
      <c r="AK199" s="702"/>
      <c r="AM199" s="106"/>
      <c r="AN199" s="106"/>
    </row>
    <row r="200" spans="1:1026">
      <c r="A200" s="80"/>
      <c r="B200" s="14"/>
      <c r="C200" s="14"/>
      <c r="D200" s="14"/>
      <c r="E200" s="15"/>
      <c r="F200" s="14"/>
      <c r="G200" s="81"/>
      <c r="H200" s="278"/>
      <c r="I200" s="279"/>
      <c r="J200" s="280"/>
      <c r="K200" s="281"/>
      <c r="L200" s="280"/>
      <c r="M200" s="281"/>
      <c r="N200" s="289"/>
      <c r="O200" s="121"/>
      <c r="P200" s="282"/>
      <c r="Q200" s="121"/>
      <c r="R200" s="282"/>
      <c r="S200" s="283"/>
      <c r="T200" s="283"/>
      <c r="U200" s="283"/>
      <c r="V200" s="283"/>
      <c r="W200" s="284"/>
      <c r="X200" s="285"/>
      <c r="Y200" s="286"/>
      <c r="Z200" s="287"/>
      <c r="AA200" s="287"/>
      <c r="AB200" s="287"/>
      <c r="AC200" s="288"/>
      <c r="AD200" s="287"/>
      <c r="AE200" s="288"/>
      <c r="AF200" s="287"/>
      <c r="AG200" s="753"/>
      <c r="AH200" s="287"/>
      <c r="AI200" s="287"/>
      <c r="AJ200" s="287"/>
      <c r="AK200" s="700"/>
      <c r="AM200" s="106"/>
      <c r="AN200" s="106"/>
    </row>
    <row r="201" spans="1:1026">
      <c r="A201" s="222"/>
      <c r="B201" s="678"/>
      <c r="C201" s="678"/>
      <c r="D201" s="678"/>
      <c r="E201" s="681"/>
      <c r="F201" s="678"/>
      <c r="G201" s="223"/>
      <c r="H201" s="224" t="s">
        <v>225</v>
      </c>
      <c r="I201" s="432">
        <f>SUM(I178+I179+I190+I192+I199)</f>
        <v>85000</v>
      </c>
      <c r="J201" s="433">
        <v>80277.05</v>
      </c>
      <c r="K201" s="432">
        <f>SUM(K178,K179,K190,K192,K199)</f>
        <v>136000</v>
      </c>
      <c r="L201" s="433">
        <f>SUM(L178+L179+L190+L192+L199)</f>
        <v>92672.78</v>
      </c>
      <c r="M201" s="432">
        <f>SUM(M178,M179,M190,M192,M199)</f>
        <v>142200</v>
      </c>
      <c r="N201" s="433">
        <f>SUM(N178,N179,N190,N192,N199)</f>
        <v>118031.03000000001</v>
      </c>
      <c r="O201" s="434">
        <f>SUM(O178,O179,O190,O192,O199)</f>
        <v>140000</v>
      </c>
      <c r="P201" s="233">
        <v>64035.79</v>
      </c>
      <c r="Q201" s="434">
        <v>140200</v>
      </c>
      <c r="R201" s="233">
        <f>R199+R192+R190+R179</f>
        <v>92840.35</v>
      </c>
      <c r="S201" s="435">
        <f>SUM(S178,S179,S190,S192,S199)</f>
        <v>145200</v>
      </c>
      <c r="T201" s="435">
        <f>SUM(T178,T179,T190,T192,T199)</f>
        <v>145200</v>
      </c>
      <c r="U201" s="435"/>
      <c r="V201" s="435">
        <f>SUM(V178,V179,V190,V192,V199)</f>
        <v>145200</v>
      </c>
      <c r="W201" s="436">
        <f>SUM(W178,W179,W190,W192,W199)</f>
        <v>-92209.510000000009</v>
      </c>
      <c r="X201" s="437">
        <f>SUM(X178,X179,X190,X192,X199)</f>
        <v>163000</v>
      </c>
      <c r="Y201" s="471">
        <v>-57466.04</v>
      </c>
      <c r="Z201" s="437">
        <f>SUM(Z178,Z179,Z190,Z192,Z199)</f>
        <v>163000</v>
      </c>
      <c r="AA201" s="437">
        <f>SUM(AA178,AA179,AA190,AA192,AA199)</f>
        <v>-136830.25</v>
      </c>
      <c r="AB201" s="437">
        <f>SUM(AB178,AB179,AB190,AB192,AB199)</f>
        <v>161000</v>
      </c>
      <c r="AC201" s="439">
        <v>-136809.35</v>
      </c>
      <c r="AD201" s="437">
        <f>SUM(AD178,AD179,AD190,AD192,AD199)</f>
        <v>156700</v>
      </c>
      <c r="AE201" s="437">
        <f t="shared" ref="AE201" si="80">SUM(AE178,AE179,AE190,AE192,AE199)</f>
        <v>-149256.97</v>
      </c>
      <c r="AF201" s="437">
        <f>SUM(AF178,AF179,AF190,AF192,AF199)</f>
        <v>156700</v>
      </c>
      <c r="AG201" s="437">
        <f t="shared" ref="AG201" si="81">SUM(AG178,AG179,AG190,AG192,AG199)</f>
        <v>-78550.429999999993</v>
      </c>
      <c r="AH201" s="437">
        <f>SUM(AH178,AH179,AH190,AH192,AH199)</f>
        <v>152421.24</v>
      </c>
      <c r="AI201" s="437">
        <f>SUM(AI178,AI179,AI190,AI192,AI199)</f>
        <v>152900</v>
      </c>
      <c r="AJ201" s="437">
        <f>SUM(AJ178,AJ179,AJ190,AJ192,AJ199)</f>
        <v>152900</v>
      </c>
      <c r="AK201" s="708"/>
      <c r="AM201" s="106"/>
      <c r="AN201" s="106"/>
    </row>
    <row r="202" spans="1:1026">
      <c r="A202" s="235">
        <v>5</v>
      </c>
      <c r="B202" s="682" t="s">
        <v>16</v>
      </c>
      <c r="C202" s="682">
        <v>3</v>
      </c>
      <c r="D202" s="682" t="s">
        <v>16</v>
      </c>
      <c r="E202" s="683" t="s">
        <v>70</v>
      </c>
      <c r="F202" s="682" t="s">
        <v>16</v>
      </c>
      <c r="G202" s="236" t="s">
        <v>70</v>
      </c>
      <c r="H202" s="55" t="s">
        <v>226</v>
      </c>
      <c r="I202" s="56"/>
      <c r="J202" s="57"/>
      <c r="K202" s="56"/>
      <c r="L202" s="57"/>
      <c r="M202" s="57"/>
      <c r="N202" s="57"/>
      <c r="O202" s="472"/>
      <c r="P202" s="473"/>
      <c r="Q202" s="472"/>
      <c r="R202" s="473"/>
      <c r="S202" s="60"/>
      <c r="T202" s="60"/>
      <c r="U202" s="60"/>
      <c r="V202" s="60"/>
      <c r="W202" s="61"/>
      <c r="X202" s="62"/>
      <c r="Y202" s="63"/>
      <c r="Z202" s="64"/>
      <c r="AA202" s="64"/>
      <c r="AB202" s="64"/>
      <c r="AC202" s="237"/>
      <c r="AD202" s="64"/>
      <c r="AE202" s="237"/>
      <c r="AF202" s="64"/>
      <c r="AG202" s="742"/>
      <c r="AH202" s="64"/>
      <c r="AI202" s="64"/>
      <c r="AJ202" s="64"/>
      <c r="AK202" s="697"/>
      <c r="AM202" s="106"/>
      <c r="AN202" s="106"/>
    </row>
    <row r="203" spans="1:1026">
      <c r="A203" s="474"/>
      <c r="B203" s="687"/>
      <c r="C203" s="687"/>
      <c r="D203" s="687"/>
      <c r="E203" s="692"/>
      <c r="F203" s="687"/>
      <c r="G203" s="475"/>
      <c r="H203" s="476"/>
      <c r="I203" s="477"/>
      <c r="J203" s="478"/>
      <c r="K203" s="477"/>
      <c r="L203" s="478"/>
      <c r="M203" s="478"/>
      <c r="N203" s="478"/>
      <c r="O203" s="479"/>
      <c r="P203" s="480"/>
      <c r="Q203" s="479"/>
      <c r="R203" s="480"/>
      <c r="S203" s="481"/>
      <c r="T203" s="481"/>
      <c r="U203" s="481"/>
      <c r="V203" s="481"/>
      <c r="W203" s="482"/>
      <c r="X203" s="483"/>
      <c r="Y203" s="484"/>
      <c r="Z203" s="485"/>
      <c r="AA203" s="486"/>
      <c r="AB203" s="485"/>
      <c r="AC203" s="486"/>
      <c r="AD203" s="485"/>
      <c r="AE203" s="486"/>
      <c r="AF203" s="485"/>
      <c r="AG203" s="765"/>
      <c r="AH203" s="485"/>
      <c r="AI203" s="485"/>
      <c r="AJ203" s="485"/>
      <c r="AK203" s="733"/>
      <c r="AM203" s="106"/>
      <c r="AN203" s="106"/>
    </row>
    <row r="204" spans="1:1026">
      <c r="A204" s="66">
        <v>5</v>
      </c>
      <c r="B204" s="67" t="s">
        <v>16</v>
      </c>
      <c r="C204" s="67">
        <v>3</v>
      </c>
      <c r="D204" s="67" t="s">
        <v>16</v>
      </c>
      <c r="E204" s="68" t="s">
        <v>81</v>
      </c>
      <c r="F204" s="67" t="s">
        <v>16</v>
      </c>
      <c r="G204" s="69" t="s">
        <v>70</v>
      </c>
      <c r="H204" s="238" t="s">
        <v>227</v>
      </c>
      <c r="I204" s="239"/>
      <c r="J204" s="240"/>
      <c r="K204" s="239"/>
      <c r="L204" s="240"/>
      <c r="M204" s="240"/>
      <c r="N204" s="240"/>
      <c r="O204" s="241"/>
      <c r="P204" s="242"/>
      <c r="Q204" s="241"/>
      <c r="R204" s="242"/>
      <c r="S204" s="243"/>
      <c r="T204" s="243"/>
      <c r="U204" s="243"/>
      <c r="V204" s="243"/>
      <c r="W204" s="244"/>
      <c r="X204" s="245"/>
      <c r="Y204" s="246"/>
      <c r="Z204" s="247"/>
      <c r="AA204" s="248"/>
      <c r="AB204" s="247"/>
      <c r="AC204" s="248"/>
      <c r="AD204" s="247"/>
      <c r="AE204" s="248"/>
      <c r="AF204" s="247"/>
      <c r="AG204" s="752"/>
      <c r="AH204" s="247"/>
      <c r="AI204" s="247"/>
      <c r="AJ204" s="247"/>
      <c r="AK204" s="710"/>
      <c r="AM204" s="106"/>
      <c r="AN204" s="106"/>
    </row>
    <row r="205" spans="1:1026">
      <c r="A205" s="80">
        <v>5</v>
      </c>
      <c r="B205" s="14" t="s">
        <v>16</v>
      </c>
      <c r="C205" s="14">
        <v>3</v>
      </c>
      <c r="D205" s="14" t="s">
        <v>16</v>
      </c>
      <c r="E205" s="15" t="s">
        <v>81</v>
      </c>
      <c r="F205" s="14" t="s">
        <v>16</v>
      </c>
      <c r="G205" s="81" t="s">
        <v>81</v>
      </c>
      <c r="H205" s="250" t="s">
        <v>228</v>
      </c>
      <c r="I205" s="279">
        <v>7100</v>
      </c>
      <c r="J205" s="212">
        <v>3125.56</v>
      </c>
      <c r="K205" s="211">
        <v>7100</v>
      </c>
      <c r="L205" s="212">
        <v>1931.05</v>
      </c>
      <c r="M205" s="211">
        <v>7100</v>
      </c>
      <c r="N205" s="212">
        <v>3527.01</v>
      </c>
      <c r="O205" s="487">
        <v>7100</v>
      </c>
      <c r="P205" s="488">
        <v>944.32</v>
      </c>
      <c r="Q205" s="489">
        <v>4180</v>
      </c>
      <c r="R205" s="488">
        <v>1482.85</v>
      </c>
      <c r="S205" s="490">
        <f>4180</f>
        <v>4180</v>
      </c>
      <c r="T205" s="490">
        <f>4180</f>
        <v>4180</v>
      </c>
      <c r="U205" s="490">
        <v>-1195.2</v>
      </c>
      <c r="V205" s="490">
        <f>4180</f>
        <v>4180</v>
      </c>
      <c r="W205" s="491">
        <v>-1796.85</v>
      </c>
      <c r="X205" s="217">
        <f>25500-X206-X207</f>
        <v>5500</v>
      </c>
      <c r="Y205" s="218">
        <v>-869.17</v>
      </c>
      <c r="Z205" s="217">
        <f>Z208-Z206-Z207</f>
        <v>7300</v>
      </c>
      <c r="AA205" s="492">
        <v>-5616.48</v>
      </c>
      <c r="AB205" s="493">
        <v>0</v>
      </c>
      <c r="AC205" s="492">
        <v>-5616.48</v>
      </c>
      <c r="AD205" s="217">
        <v>7300</v>
      </c>
      <c r="AE205" s="492">
        <v>-4543.1899999999996</v>
      </c>
      <c r="AF205" s="854">
        <v>7500</v>
      </c>
      <c r="AG205" s="766">
        <v>-1768.23</v>
      </c>
      <c r="AH205" s="854">
        <v>7500</v>
      </c>
      <c r="AI205" s="854">
        <v>7500</v>
      </c>
      <c r="AJ205" s="854">
        <v>7500</v>
      </c>
      <c r="AK205" s="707" t="s">
        <v>442</v>
      </c>
      <c r="AM205" s="106"/>
      <c r="AN205" s="106"/>
    </row>
    <row r="206" spans="1:1026">
      <c r="A206" s="80">
        <v>5</v>
      </c>
      <c r="B206" s="14" t="s">
        <v>16</v>
      </c>
      <c r="C206" s="14">
        <v>3</v>
      </c>
      <c r="D206" s="14" t="s">
        <v>16</v>
      </c>
      <c r="E206" s="15" t="s">
        <v>81</v>
      </c>
      <c r="F206" s="14" t="s">
        <v>16</v>
      </c>
      <c r="G206" s="81" t="s">
        <v>84</v>
      </c>
      <c r="H206" s="251" t="s">
        <v>229</v>
      </c>
      <c r="I206" s="281">
        <v>7800</v>
      </c>
      <c r="J206" s="109">
        <v>10840</v>
      </c>
      <c r="K206" s="108">
        <v>7800</v>
      </c>
      <c r="L206" s="109">
        <v>9540</v>
      </c>
      <c r="M206" s="108">
        <v>7800</v>
      </c>
      <c r="N206" s="109">
        <v>12720</v>
      </c>
      <c r="O206" s="422">
        <v>7800</v>
      </c>
      <c r="P206" s="423">
        <v>7420</v>
      </c>
      <c r="Q206" s="424">
        <v>12720</v>
      </c>
      <c r="R206" s="423">
        <v>10600</v>
      </c>
      <c r="S206" s="283">
        <f>600*12+200*12+2*130*12</f>
        <v>12720</v>
      </c>
      <c r="T206" s="283">
        <f>600*12+200*12+2*130*12</f>
        <v>12720</v>
      </c>
      <c r="U206" s="283">
        <v>-7420</v>
      </c>
      <c r="V206" s="283">
        <f>ROUNDUP(T206*1.024,-2)</f>
        <v>13100</v>
      </c>
      <c r="W206" s="216">
        <v>-9540</v>
      </c>
      <c r="X206" s="89">
        <f>ROUNDUP(130*2*12+325*12+650*12,-2)</f>
        <v>14900</v>
      </c>
      <c r="Y206" s="90">
        <v>-6175</v>
      </c>
      <c r="Z206" s="89">
        <f>ROUNDUP(130*2*12+325*12+650*12,-2)</f>
        <v>14900</v>
      </c>
      <c r="AA206" s="296">
        <v>-14820</v>
      </c>
      <c r="AB206" s="89">
        <f>ROUNDUP(130*2*12+325*12+650*12,-2)</f>
        <v>14900</v>
      </c>
      <c r="AC206" s="296">
        <v>-14820</v>
      </c>
      <c r="AD206" s="89">
        <f>ROUNDUP(130*2*12+325*12+650*12,-2)</f>
        <v>14900</v>
      </c>
      <c r="AE206" s="296">
        <v>-15223.34</v>
      </c>
      <c r="AF206" s="89">
        <f>ROUNDUP(130*2*12+325*12+650*12,-2)</f>
        <v>14900</v>
      </c>
      <c r="AG206" s="674">
        <v>-8238</v>
      </c>
      <c r="AH206" s="857">
        <f>ROUNDUP(130*2*12+325*12+650*12,-2)</f>
        <v>14900</v>
      </c>
      <c r="AI206" s="857">
        <f>ROUNDUP(130*2*12+325*12+650*12,-2)</f>
        <v>14900</v>
      </c>
      <c r="AJ206" s="857">
        <f>ROUNDUP(130*2*12+325*12+650*12,-2)</f>
        <v>14900</v>
      </c>
      <c r="AK206" s="734" t="s">
        <v>230</v>
      </c>
      <c r="AM206" s="106"/>
      <c r="AN206" s="106"/>
    </row>
    <row r="207" spans="1:1026">
      <c r="A207" s="80">
        <v>5</v>
      </c>
      <c r="B207" s="14" t="s">
        <v>16</v>
      </c>
      <c r="C207" s="14">
        <v>3</v>
      </c>
      <c r="D207" s="14" t="s">
        <v>16</v>
      </c>
      <c r="E207" s="15" t="s">
        <v>81</v>
      </c>
      <c r="F207" s="14" t="s">
        <v>16</v>
      </c>
      <c r="G207" s="81" t="s">
        <v>86</v>
      </c>
      <c r="H207" s="251" t="s">
        <v>231</v>
      </c>
      <c r="I207" s="281">
        <v>8100</v>
      </c>
      <c r="J207" s="109">
        <v>5280</v>
      </c>
      <c r="K207" s="108">
        <v>8100</v>
      </c>
      <c r="L207" s="109">
        <v>3600</v>
      </c>
      <c r="M207" s="108">
        <v>8100</v>
      </c>
      <c r="N207" s="109">
        <v>4800</v>
      </c>
      <c r="O207" s="422">
        <v>8100</v>
      </c>
      <c r="P207" s="423">
        <v>2800</v>
      </c>
      <c r="Q207" s="424">
        <v>6100</v>
      </c>
      <c r="R207" s="423">
        <v>4650</v>
      </c>
      <c r="S207" s="283">
        <f>6100+1500</f>
        <v>7600</v>
      </c>
      <c r="T207" s="283">
        <f>6100+1500</f>
        <v>7600</v>
      </c>
      <c r="U207" s="283">
        <v>-2800</v>
      </c>
      <c r="V207" s="113">
        <f>650*11+770</f>
        <v>7920</v>
      </c>
      <c r="W207" s="114">
        <v>-3600</v>
      </c>
      <c r="X207" s="115">
        <f>ROUNDUP(418*12,-2)</f>
        <v>5100</v>
      </c>
      <c r="Y207" s="116">
        <v>-2400</v>
      </c>
      <c r="Z207" s="115">
        <f>ROUNDUP(480*12,-2)</f>
        <v>5800</v>
      </c>
      <c r="AA207" s="494">
        <v>-6000</v>
      </c>
      <c r="AB207" s="115">
        <f>ROUNDUP(480*12,-2)</f>
        <v>5800</v>
      </c>
      <c r="AC207" s="494">
        <v>-6000</v>
      </c>
      <c r="AD207" s="115">
        <f>ROUNDUP(480*12,-2)</f>
        <v>5800</v>
      </c>
      <c r="AE207" s="494">
        <v>-6840</v>
      </c>
      <c r="AF207" s="855">
        <f>ROUNDUP(560*12,-2)</f>
        <v>6800</v>
      </c>
      <c r="AG207" s="767">
        <v>-3820</v>
      </c>
      <c r="AH207" s="855">
        <f>ROUNDUP(560*12,-2)</f>
        <v>6800</v>
      </c>
      <c r="AI207" s="855">
        <f>ROUNDUP(560*12,-2)</f>
        <v>6800</v>
      </c>
      <c r="AJ207" s="855">
        <f>ROUNDUP(560*12,-2)</f>
        <v>6800</v>
      </c>
      <c r="AK207" s="734" t="s">
        <v>230</v>
      </c>
      <c r="AM207" s="106"/>
      <c r="AN207" s="106"/>
    </row>
    <row r="208" spans="1:1026">
      <c r="A208" s="144"/>
      <c r="B208" s="680"/>
      <c r="C208" s="680"/>
      <c r="D208" s="680"/>
      <c r="E208" s="676"/>
      <c r="F208" s="680"/>
      <c r="G208" s="145"/>
      <c r="H208" s="146" t="s">
        <v>232</v>
      </c>
      <c r="I208" s="495">
        <f t="shared" ref="I208:P208" si="82">SUM(I205:I207)</f>
        <v>23000</v>
      </c>
      <c r="J208" s="496">
        <f t="shared" si="82"/>
        <v>19245.559999999998</v>
      </c>
      <c r="K208" s="495">
        <f t="shared" si="82"/>
        <v>23000</v>
      </c>
      <c r="L208" s="496">
        <f t="shared" si="82"/>
        <v>15071.05</v>
      </c>
      <c r="M208" s="495">
        <f t="shared" si="82"/>
        <v>23000</v>
      </c>
      <c r="N208" s="496">
        <f t="shared" si="82"/>
        <v>21047.010000000002</v>
      </c>
      <c r="O208" s="497">
        <f t="shared" si="82"/>
        <v>23000</v>
      </c>
      <c r="P208" s="498">
        <f t="shared" si="82"/>
        <v>11164.32</v>
      </c>
      <c r="Q208" s="497">
        <v>23000</v>
      </c>
      <c r="R208" s="498">
        <f>SUM(R205:R207)</f>
        <v>16732.849999999999</v>
      </c>
      <c r="S208" s="499">
        <f>SUM(S205:S207)</f>
        <v>24500</v>
      </c>
      <c r="T208" s="499">
        <f>SUM(T205:T207)</f>
        <v>24500</v>
      </c>
      <c r="U208" s="499"/>
      <c r="V208" s="499">
        <f>SUM(V205:V207)</f>
        <v>25200</v>
      </c>
      <c r="W208" s="500">
        <v>-14936.85</v>
      </c>
      <c r="X208" s="501">
        <f>SUM(X205:X207)</f>
        <v>25500</v>
      </c>
      <c r="Y208" s="502">
        <v>-9444.17</v>
      </c>
      <c r="Z208" s="503">
        <v>28000</v>
      </c>
      <c r="AA208" s="503">
        <f>SUM(AA205:AA207)</f>
        <v>-26436.48</v>
      </c>
      <c r="AB208" s="503">
        <f>AB205+AB206+AB207</f>
        <v>20700</v>
      </c>
      <c r="AC208" s="504">
        <v>-26436.48</v>
      </c>
      <c r="AD208" s="503">
        <f>AD205+AD206+AD207</f>
        <v>28000</v>
      </c>
      <c r="AE208" s="503">
        <f t="shared" ref="AE208" si="83">AE205+AE206+AE207</f>
        <v>-26606.53</v>
      </c>
      <c r="AF208" s="503">
        <f>AF205+AF206+AF207</f>
        <v>29200</v>
      </c>
      <c r="AG208" s="503">
        <f t="shared" ref="AG208" si="84">AG205+AG206+AG207</f>
        <v>-13826.23</v>
      </c>
      <c r="AH208" s="503">
        <f>AH205+AH206+AH207</f>
        <v>29200</v>
      </c>
      <c r="AI208" s="503">
        <f>AI205+AI206+AI207</f>
        <v>29200</v>
      </c>
      <c r="AJ208" s="503">
        <f>AJ205+AJ206+AJ207</f>
        <v>29200</v>
      </c>
      <c r="AK208" s="702" t="s">
        <v>233</v>
      </c>
      <c r="AM208" s="106"/>
      <c r="AN208" s="106"/>
    </row>
    <row r="209" spans="1:40">
      <c r="A209" s="80"/>
      <c r="B209" s="14"/>
      <c r="C209" s="14"/>
      <c r="D209" s="14"/>
      <c r="E209" s="15"/>
      <c r="F209" s="14"/>
      <c r="G209" s="81"/>
      <c r="H209" s="251"/>
      <c r="I209" s="281"/>
      <c r="J209" s="289"/>
      <c r="K209" s="281"/>
      <c r="L209" s="289"/>
      <c r="M209" s="281"/>
      <c r="N209" s="289"/>
      <c r="O209" s="121"/>
      <c r="P209" s="282"/>
      <c r="Q209" s="121"/>
      <c r="R209" s="282"/>
      <c r="S209" s="283"/>
      <c r="T209" s="283"/>
      <c r="U209" s="283"/>
      <c r="V209" s="283"/>
      <c r="W209" s="284"/>
      <c r="X209" s="285"/>
      <c r="Y209" s="286"/>
      <c r="Z209" s="287"/>
      <c r="AA209" s="287"/>
      <c r="AB209" s="287"/>
      <c r="AC209" s="288"/>
      <c r="AD209" s="287"/>
      <c r="AE209" s="288"/>
      <c r="AF209" s="287"/>
      <c r="AG209" s="753"/>
      <c r="AH209" s="287"/>
      <c r="AI209" s="287"/>
      <c r="AJ209" s="287"/>
      <c r="AK209" s="706"/>
      <c r="AM209" s="106"/>
      <c r="AN209" s="106"/>
    </row>
    <row r="210" spans="1:40" ht="25.5">
      <c r="A210" s="66">
        <v>5</v>
      </c>
      <c r="B210" s="67" t="s">
        <v>16</v>
      </c>
      <c r="C210" s="67">
        <v>3</v>
      </c>
      <c r="D210" s="67" t="s">
        <v>16</v>
      </c>
      <c r="E210" s="68" t="s">
        <v>84</v>
      </c>
      <c r="F210" s="67" t="s">
        <v>16</v>
      </c>
      <c r="G210" s="69" t="s">
        <v>70</v>
      </c>
      <c r="H210" s="505" t="s">
        <v>234</v>
      </c>
      <c r="I210" s="239"/>
      <c r="J210" s="240"/>
      <c r="K210" s="239"/>
      <c r="L210" s="240"/>
      <c r="M210" s="239"/>
      <c r="N210" s="240"/>
      <c r="O210" s="241"/>
      <c r="P210" s="242"/>
      <c r="Q210" s="241"/>
      <c r="R210" s="242"/>
      <c r="S210" s="243"/>
      <c r="T210" s="243"/>
      <c r="U210" s="243"/>
      <c r="V210" s="243"/>
      <c r="W210" s="244"/>
      <c r="X210" s="245"/>
      <c r="Y210" s="246"/>
      <c r="Z210" s="247"/>
      <c r="AA210" s="247"/>
      <c r="AB210" s="247"/>
      <c r="AC210" s="248"/>
      <c r="AD210" s="247"/>
      <c r="AE210" s="248"/>
      <c r="AF210" s="247"/>
      <c r="AG210" s="752"/>
      <c r="AH210" s="247"/>
      <c r="AI210" s="247"/>
      <c r="AJ210" s="247"/>
      <c r="AK210" s="710"/>
      <c r="AM210" s="106"/>
      <c r="AN210" s="106"/>
    </row>
    <row r="211" spans="1:40" ht="38.25">
      <c r="A211" s="80">
        <v>5</v>
      </c>
      <c r="B211" s="14" t="s">
        <v>16</v>
      </c>
      <c r="C211" s="14">
        <v>3</v>
      </c>
      <c r="D211" s="14" t="s">
        <v>16</v>
      </c>
      <c r="E211" s="15" t="s">
        <v>84</v>
      </c>
      <c r="F211" s="14" t="s">
        <v>16</v>
      </c>
      <c r="G211" s="81" t="s">
        <v>81</v>
      </c>
      <c r="H211" s="250" t="s">
        <v>235</v>
      </c>
      <c r="I211" s="279">
        <v>7100</v>
      </c>
      <c r="J211" s="212">
        <v>6381.45</v>
      </c>
      <c r="K211" s="211">
        <v>7100</v>
      </c>
      <c r="L211" s="212">
        <v>4403.91</v>
      </c>
      <c r="M211" s="211">
        <v>7100</v>
      </c>
      <c r="N211" s="212">
        <v>7714.29</v>
      </c>
      <c r="O211" s="487">
        <v>7100</v>
      </c>
      <c r="P211" s="488">
        <v>1213.29</v>
      </c>
      <c r="Q211" s="487">
        <v>7100</v>
      </c>
      <c r="R211" s="488">
        <v>1504.71</v>
      </c>
      <c r="S211" s="215">
        <v>7100</v>
      </c>
      <c r="T211" s="215">
        <v>7100</v>
      </c>
      <c r="U211" s="215">
        <v>-287.45</v>
      </c>
      <c r="V211" s="215">
        <v>7100</v>
      </c>
      <c r="W211" s="216">
        <v>-325.12</v>
      </c>
      <c r="X211" s="217">
        <f>25500-X212-X213+5300</f>
        <v>7200</v>
      </c>
      <c r="Y211" s="218">
        <v>-327.69</v>
      </c>
      <c r="Z211" s="217">
        <f>Z215-Z212-Z213</f>
        <v>9700</v>
      </c>
      <c r="AA211" s="506">
        <v>-5341.78</v>
      </c>
      <c r="AB211" s="507">
        <f>AB215-AB212-AB213</f>
        <v>9700</v>
      </c>
      <c r="AC211" s="506">
        <v>-5341.78</v>
      </c>
      <c r="AD211" s="507">
        <f>AD215-AD212-AD213</f>
        <v>9700</v>
      </c>
      <c r="AE211" s="506">
        <v>-2386.27</v>
      </c>
      <c r="AF211" s="856">
        <f>AF215-AF212-AF213</f>
        <v>3500</v>
      </c>
      <c r="AG211" s="768">
        <v>-1786.08</v>
      </c>
      <c r="AH211" s="856">
        <f>AH215-AH212-AH213</f>
        <v>3500</v>
      </c>
      <c r="AI211" s="856">
        <f>AI215-AI212-AI213</f>
        <v>3500</v>
      </c>
      <c r="AJ211" s="856">
        <f>AJ215-AJ212-AJ213</f>
        <v>3500</v>
      </c>
      <c r="AK211" s="715" t="s">
        <v>443</v>
      </c>
      <c r="AM211" s="106"/>
      <c r="AN211" s="106"/>
    </row>
    <row r="212" spans="1:40">
      <c r="A212" s="80">
        <v>5</v>
      </c>
      <c r="B212" s="14" t="s">
        <v>16</v>
      </c>
      <c r="C212" s="14">
        <v>3</v>
      </c>
      <c r="D212" s="14" t="s">
        <v>16</v>
      </c>
      <c r="E212" s="15" t="s">
        <v>84</v>
      </c>
      <c r="F212" s="14" t="s">
        <v>16</v>
      </c>
      <c r="G212" s="81" t="s">
        <v>84</v>
      </c>
      <c r="H212" s="251" t="s">
        <v>236</v>
      </c>
      <c r="I212" s="281">
        <v>7800</v>
      </c>
      <c r="J212" s="109">
        <v>8600</v>
      </c>
      <c r="K212" s="108">
        <v>7800</v>
      </c>
      <c r="L212" s="109">
        <v>6550</v>
      </c>
      <c r="M212" s="108">
        <v>7800</v>
      </c>
      <c r="N212" s="109">
        <v>8400</v>
      </c>
      <c r="O212" s="422">
        <v>7800</v>
      </c>
      <c r="P212" s="423">
        <v>4550</v>
      </c>
      <c r="Q212" s="422">
        <v>7800</v>
      </c>
      <c r="R212" s="423">
        <v>6500</v>
      </c>
      <c r="S212" s="113">
        <f>650*12</f>
        <v>7800</v>
      </c>
      <c r="T212" s="113">
        <f>650*12</f>
        <v>7800</v>
      </c>
      <c r="U212" s="113">
        <v>-4550</v>
      </c>
      <c r="V212" s="113">
        <f>650*11+770</f>
        <v>7920</v>
      </c>
      <c r="W212" s="216">
        <v>-5850</v>
      </c>
      <c r="X212" s="89">
        <f>ROUNDUP(12*720,-2)</f>
        <v>8700</v>
      </c>
      <c r="Y212" s="90">
        <v>-3320</v>
      </c>
      <c r="Z212" s="89">
        <f>ROUNDUP(12*720,-2)</f>
        <v>8700</v>
      </c>
      <c r="AA212" s="296">
        <v>-8304.5400000000009</v>
      </c>
      <c r="AB212" s="89">
        <f>ROUNDUP(12*720,-2)</f>
        <v>8700</v>
      </c>
      <c r="AC212" s="296">
        <v>-8304.5400000000009</v>
      </c>
      <c r="AD212" s="89">
        <f>ROUNDUP(12*720,-2)</f>
        <v>8700</v>
      </c>
      <c r="AE212" s="296">
        <v>-5712.54</v>
      </c>
      <c r="AF212" s="857">
        <f>ROUNDUP(12*845,-2)</f>
        <v>10200</v>
      </c>
      <c r="AG212" s="674">
        <v>-3675</v>
      </c>
      <c r="AH212" s="857">
        <f>ROUNDUP(12*845,-2)</f>
        <v>10200</v>
      </c>
      <c r="AI212" s="857">
        <f>ROUNDUP(12*845,-2)</f>
        <v>10200</v>
      </c>
      <c r="AJ212" s="857">
        <f>ROUNDUP(12*845,-2)</f>
        <v>10200</v>
      </c>
      <c r="AK212" s="734" t="s">
        <v>230</v>
      </c>
      <c r="AM212" s="106"/>
      <c r="AN212" s="106"/>
    </row>
    <row r="213" spans="1:40">
      <c r="A213" s="80">
        <v>5</v>
      </c>
      <c r="B213" s="14" t="s">
        <v>16</v>
      </c>
      <c r="C213" s="14">
        <v>3</v>
      </c>
      <c r="D213" s="14" t="s">
        <v>16</v>
      </c>
      <c r="E213" s="15" t="s">
        <v>84</v>
      </c>
      <c r="F213" s="14" t="s">
        <v>16</v>
      </c>
      <c r="G213" s="81" t="s">
        <v>86</v>
      </c>
      <c r="H213" s="251" t="s">
        <v>237</v>
      </c>
      <c r="I213" s="281">
        <v>8100</v>
      </c>
      <c r="J213" s="109">
        <v>8292.0400000000009</v>
      </c>
      <c r="K213" s="108">
        <v>8100</v>
      </c>
      <c r="L213" s="109">
        <v>6399</v>
      </c>
      <c r="M213" s="108">
        <v>8100</v>
      </c>
      <c r="N213" s="109">
        <v>10269.76</v>
      </c>
      <c r="O213" s="422">
        <v>14400</v>
      </c>
      <c r="P213" s="423">
        <v>8029</v>
      </c>
      <c r="Q213" s="422">
        <v>14400</v>
      </c>
      <c r="R213" s="423">
        <v>12022</v>
      </c>
      <c r="S213" s="113">
        <f>14400+1500</f>
        <v>15900</v>
      </c>
      <c r="T213" s="113">
        <f>14400+1500</f>
        <v>15900</v>
      </c>
      <c r="U213" s="113">
        <v>-7997.7</v>
      </c>
      <c r="V213" s="113">
        <f>ROUNDUP(T213*1.024,-2)</f>
        <v>16300</v>
      </c>
      <c r="W213" s="114">
        <v>-10475.700000000001</v>
      </c>
      <c r="X213" s="115">
        <f>ROUNDUP(1239*12,-2)</f>
        <v>14900</v>
      </c>
      <c r="Y213" s="116">
        <v>-2374.5</v>
      </c>
      <c r="Z213" s="115">
        <f>ROUNDUP(1239*12,-2)</f>
        <v>14900</v>
      </c>
      <c r="AA213" s="494">
        <v>-11791.5</v>
      </c>
      <c r="AB213" s="115">
        <f>ROUNDUP(1239*12,-2)</f>
        <v>14900</v>
      </c>
      <c r="AC213" s="494">
        <v>-11791.5</v>
      </c>
      <c r="AD213" s="115">
        <f>ROUNDUP(1239*12,-2)</f>
        <v>14900</v>
      </c>
      <c r="AE213" s="494">
        <v>-15474.07</v>
      </c>
      <c r="AF213" s="855">
        <f>ROUNDUP(1290*12,-2)</f>
        <v>15500</v>
      </c>
      <c r="AG213" s="767">
        <v>-7871.79</v>
      </c>
      <c r="AH213" s="855">
        <f>ROUNDUP(1290*12,-2)</f>
        <v>15500</v>
      </c>
      <c r="AI213" s="855">
        <f>ROUNDUP(1290*12,-2)</f>
        <v>15500</v>
      </c>
      <c r="AJ213" s="855">
        <f>ROUNDUP(1290*12,-2)</f>
        <v>15500</v>
      </c>
      <c r="AK213" s="734" t="s">
        <v>230</v>
      </c>
      <c r="AM213" s="106"/>
      <c r="AN213" s="106"/>
    </row>
    <row r="214" spans="1:40">
      <c r="A214" s="80">
        <v>5</v>
      </c>
      <c r="B214" s="14" t="s">
        <v>16</v>
      </c>
      <c r="C214" s="14">
        <v>3</v>
      </c>
      <c r="D214" s="14" t="s">
        <v>16</v>
      </c>
      <c r="E214" s="15" t="s">
        <v>84</v>
      </c>
      <c r="F214" s="14" t="s">
        <v>16</v>
      </c>
      <c r="G214" s="81" t="s">
        <v>73</v>
      </c>
      <c r="H214" s="251" t="s">
        <v>196</v>
      </c>
      <c r="I214" s="281">
        <v>5162</v>
      </c>
      <c r="J214" s="109">
        <v>1786.24</v>
      </c>
      <c r="K214" s="108">
        <v>13500</v>
      </c>
      <c r="L214" s="109">
        <v>933.5</v>
      </c>
      <c r="M214" s="108">
        <v>13500</v>
      </c>
      <c r="N214" s="109">
        <v>7865.94</v>
      </c>
      <c r="O214" s="422">
        <v>0</v>
      </c>
      <c r="P214" s="423" t="s">
        <v>238</v>
      </c>
      <c r="Q214" s="422">
        <v>0</v>
      </c>
      <c r="R214" s="423">
        <v>0</v>
      </c>
      <c r="S214" s="113">
        <v>0</v>
      </c>
      <c r="T214" s="113">
        <v>0</v>
      </c>
      <c r="U214" s="113"/>
      <c r="V214" s="113">
        <v>0</v>
      </c>
      <c r="W214" s="114"/>
      <c r="X214" s="115">
        <v>0</v>
      </c>
      <c r="Y214" s="37">
        <v>0</v>
      </c>
      <c r="Z214" s="37">
        <v>0</v>
      </c>
      <c r="AA214" s="362">
        <v>0</v>
      </c>
      <c r="AB214" s="37">
        <v>0</v>
      </c>
      <c r="AC214" s="362">
        <v>0</v>
      </c>
      <c r="AD214" s="37">
        <v>0</v>
      </c>
      <c r="AE214" s="362"/>
      <c r="AF214" s="37">
        <v>0</v>
      </c>
      <c r="AH214" s="37">
        <v>0</v>
      </c>
      <c r="AI214" s="37">
        <v>0</v>
      </c>
      <c r="AJ214" s="37">
        <v>0</v>
      </c>
      <c r="AK214" s="706"/>
      <c r="AM214" s="106"/>
      <c r="AN214" s="106"/>
    </row>
    <row r="215" spans="1:40">
      <c r="A215" s="144"/>
      <c r="B215" s="680"/>
      <c r="C215" s="680"/>
      <c r="D215" s="680"/>
      <c r="E215" s="676"/>
      <c r="F215" s="680"/>
      <c r="G215" s="145"/>
      <c r="H215" s="146" t="s">
        <v>239</v>
      </c>
      <c r="I215" s="495">
        <f t="shared" ref="I215:O215" si="85">SUM(I211:I214)</f>
        <v>28162</v>
      </c>
      <c r="J215" s="496">
        <f t="shared" si="85"/>
        <v>25059.730000000003</v>
      </c>
      <c r="K215" s="495">
        <f t="shared" si="85"/>
        <v>36500</v>
      </c>
      <c r="L215" s="496">
        <f t="shared" si="85"/>
        <v>18286.41</v>
      </c>
      <c r="M215" s="495">
        <f t="shared" si="85"/>
        <v>36500</v>
      </c>
      <c r="N215" s="496">
        <f t="shared" si="85"/>
        <v>34249.990000000005</v>
      </c>
      <c r="O215" s="497">
        <f t="shared" si="85"/>
        <v>29300</v>
      </c>
      <c r="P215" s="498">
        <f>SUM(P211:P213)</f>
        <v>13792.29</v>
      </c>
      <c r="Q215" s="497">
        <v>29300</v>
      </c>
      <c r="R215" s="498">
        <f>SUM(R211:R213)</f>
        <v>20026.71</v>
      </c>
      <c r="S215" s="499">
        <f>SUM(S211:S214)</f>
        <v>30800</v>
      </c>
      <c r="T215" s="499">
        <f>SUM(T211:T214)</f>
        <v>30800</v>
      </c>
      <c r="U215" s="499"/>
      <c r="V215" s="499">
        <f>SUM(V211:V214)</f>
        <v>31320</v>
      </c>
      <c r="W215" s="500">
        <f>SUM(W211:W214)</f>
        <v>-16650.82</v>
      </c>
      <c r="X215" s="501">
        <f>SUM(X211:X214)</f>
        <v>30800</v>
      </c>
      <c r="Y215" s="508">
        <f>SUM(Y211:Y214)</f>
        <v>-6022.1900000000005</v>
      </c>
      <c r="Z215" s="501">
        <v>33300</v>
      </c>
      <c r="AA215" s="501">
        <f>SUM(AA211:AA214)</f>
        <v>-25437.82</v>
      </c>
      <c r="AB215" s="501">
        <v>33300</v>
      </c>
      <c r="AC215" s="878">
        <v>-25407.919999999998</v>
      </c>
      <c r="AD215" s="501">
        <v>33300</v>
      </c>
      <c r="AE215" s="501">
        <f>SUM(AE211:AE214)</f>
        <v>-23572.879999999997</v>
      </c>
      <c r="AF215" s="501">
        <v>29200</v>
      </c>
      <c r="AG215" s="501">
        <f>SUM(AG211:AG214)</f>
        <v>-13332.869999999999</v>
      </c>
      <c r="AH215" s="501">
        <v>29200</v>
      </c>
      <c r="AI215" s="501">
        <v>29200</v>
      </c>
      <c r="AJ215" s="501">
        <v>29200</v>
      </c>
      <c r="AK215" s="702" t="s">
        <v>233</v>
      </c>
      <c r="AM215" s="106"/>
      <c r="AN215" s="106"/>
    </row>
    <row r="216" spans="1:40">
      <c r="A216" s="80"/>
      <c r="B216" s="14"/>
      <c r="C216" s="14"/>
      <c r="D216" s="14"/>
      <c r="E216" s="15"/>
      <c r="F216" s="14"/>
      <c r="G216" s="81"/>
      <c r="H216" s="251"/>
      <c r="I216" s="281"/>
      <c r="J216" s="289"/>
      <c r="K216" s="281"/>
      <c r="L216" s="289"/>
      <c r="M216" s="281"/>
      <c r="N216" s="289"/>
      <c r="O216" s="424"/>
      <c r="P216" s="510"/>
      <c r="Q216" s="424"/>
      <c r="R216" s="510"/>
      <c r="S216" s="283"/>
      <c r="T216" s="283"/>
      <c r="U216" s="283"/>
      <c r="V216" s="283"/>
      <c r="W216" s="284"/>
      <c r="X216" s="285"/>
      <c r="Y216" s="286"/>
      <c r="Z216" s="287"/>
      <c r="AA216" s="118"/>
      <c r="AB216" s="287"/>
      <c r="AC216" s="288"/>
      <c r="AD216" s="287"/>
      <c r="AE216" s="288"/>
      <c r="AF216" s="287"/>
      <c r="AG216" s="753"/>
      <c r="AH216" s="287"/>
      <c r="AI216" s="287"/>
      <c r="AJ216" s="287"/>
      <c r="AK216" s="706"/>
      <c r="AM216" s="106"/>
      <c r="AN216" s="106"/>
    </row>
    <row r="217" spans="1:40">
      <c r="A217" s="66">
        <v>5</v>
      </c>
      <c r="B217" s="67" t="s">
        <v>16</v>
      </c>
      <c r="C217" s="67">
        <v>3</v>
      </c>
      <c r="D217" s="67" t="s">
        <v>16</v>
      </c>
      <c r="E217" s="68" t="s">
        <v>86</v>
      </c>
      <c r="F217" s="67" t="s">
        <v>16</v>
      </c>
      <c r="G217" s="69" t="s">
        <v>70</v>
      </c>
      <c r="H217" s="238" t="s">
        <v>240</v>
      </c>
      <c r="I217" s="239"/>
      <c r="J217" s="240"/>
      <c r="K217" s="239"/>
      <c r="L217" s="240"/>
      <c r="M217" s="239"/>
      <c r="N217" s="240"/>
      <c r="O217" s="241"/>
      <c r="P217" s="240"/>
      <c r="Q217" s="241"/>
      <c r="R217" s="240"/>
      <c r="S217" s="243"/>
      <c r="T217" s="243"/>
      <c r="U217" s="243"/>
      <c r="V217" s="243"/>
      <c r="W217" s="244"/>
      <c r="X217" s="173"/>
      <c r="Y217" s="174"/>
      <c r="Z217" s="175"/>
      <c r="AA217" s="176"/>
      <c r="AB217" s="175"/>
      <c r="AC217" s="176"/>
      <c r="AD217" s="175"/>
      <c r="AE217" s="176"/>
      <c r="AF217" s="175"/>
      <c r="AG217" s="749"/>
      <c r="AH217" s="175"/>
      <c r="AI217" s="175"/>
      <c r="AJ217" s="175"/>
      <c r="AK217" s="710"/>
      <c r="AM217" s="106"/>
      <c r="AN217" s="106"/>
    </row>
    <row r="218" spans="1:40" ht="25.5">
      <c r="A218" s="80">
        <v>5</v>
      </c>
      <c r="B218" s="14" t="s">
        <v>16</v>
      </c>
      <c r="C218" s="14">
        <v>3</v>
      </c>
      <c r="D218" s="14" t="s">
        <v>16</v>
      </c>
      <c r="E218" s="15" t="s">
        <v>86</v>
      </c>
      <c r="F218" s="14" t="s">
        <v>16</v>
      </c>
      <c r="G218" s="81" t="s">
        <v>81</v>
      </c>
      <c r="H218" s="250" t="s">
        <v>241</v>
      </c>
      <c r="I218" s="279">
        <v>6900</v>
      </c>
      <c r="J218" s="212">
        <v>5662.46</v>
      </c>
      <c r="K218" s="211">
        <v>6900</v>
      </c>
      <c r="L218" s="212">
        <v>3040.05</v>
      </c>
      <c r="M218" s="211">
        <v>6900</v>
      </c>
      <c r="N218" s="212">
        <v>4952.72</v>
      </c>
      <c r="O218" s="487">
        <v>6900</v>
      </c>
      <c r="P218" s="212">
        <v>1680.3</v>
      </c>
      <c r="Q218" s="487">
        <v>6900</v>
      </c>
      <c r="R218" s="212">
        <v>2651.7</v>
      </c>
      <c r="S218" s="215">
        <v>6900</v>
      </c>
      <c r="T218" s="215">
        <v>6900</v>
      </c>
      <c r="U218" s="215">
        <v>-1087.1600000000001</v>
      </c>
      <c r="V218" s="215">
        <v>6900</v>
      </c>
      <c r="W218" s="216">
        <v>-2787.34</v>
      </c>
      <c r="X218" s="217">
        <f>25500-X219-X220</f>
        <v>6200</v>
      </c>
      <c r="Y218" s="218">
        <v>-1856.85</v>
      </c>
      <c r="Z218" s="219">
        <f>Z223-Z219-Z220-Z222</f>
        <v>8700</v>
      </c>
      <c r="AA218" s="220">
        <v>-8745.9599999999991</v>
      </c>
      <c r="AB218" s="219">
        <f>AB223-AB219-AB220-AB222</f>
        <v>8700</v>
      </c>
      <c r="AC218" s="220">
        <v>-8745.9599999999991</v>
      </c>
      <c r="AD218" s="219">
        <f>AD223-AD219-AD220-AD222</f>
        <v>8700</v>
      </c>
      <c r="AE218" s="220">
        <v>-9012.1299999999992</v>
      </c>
      <c r="AF218" s="858">
        <f>AF223-AF219-AF220-AF222</f>
        <v>9500</v>
      </c>
      <c r="AG218" s="750">
        <v>-3560.71</v>
      </c>
      <c r="AH218" s="858">
        <f>AH223-AH219-AH220-AH222</f>
        <v>9500</v>
      </c>
      <c r="AI218" s="858">
        <f>AI223-AI219-AI220-AI222</f>
        <v>9500</v>
      </c>
      <c r="AJ218" s="858">
        <f>AJ223-AJ219-AJ220-AJ222</f>
        <v>9500</v>
      </c>
      <c r="AK218" s="707" t="s">
        <v>444</v>
      </c>
      <c r="AM218" s="106"/>
      <c r="AN218" s="106"/>
    </row>
    <row r="219" spans="1:40">
      <c r="A219" s="80">
        <v>5</v>
      </c>
      <c r="B219" s="14" t="s">
        <v>16</v>
      </c>
      <c r="C219" s="14">
        <v>3</v>
      </c>
      <c r="D219" s="14" t="s">
        <v>16</v>
      </c>
      <c r="E219" s="15" t="s">
        <v>86</v>
      </c>
      <c r="F219" s="14" t="s">
        <v>16</v>
      </c>
      <c r="G219" s="81" t="s">
        <v>84</v>
      </c>
      <c r="H219" s="251" t="s">
        <v>242</v>
      </c>
      <c r="I219" s="396">
        <v>7800</v>
      </c>
      <c r="J219" s="321">
        <v>6720</v>
      </c>
      <c r="K219" s="320">
        <v>7800</v>
      </c>
      <c r="L219" s="321">
        <v>6150</v>
      </c>
      <c r="M219" s="320">
        <v>7800</v>
      </c>
      <c r="N219" s="321">
        <v>8100</v>
      </c>
      <c r="O219" s="322">
        <v>7800</v>
      </c>
      <c r="P219" s="321">
        <v>4550</v>
      </c>
      <c r="Q219" s="322">
        <v>7800</v>
      </c>
      <c r="R219" s="321">
        <v>6500</v>
      </c>
      <c r="S219" s="324">
        <f>650*12</f>
        <v>7800</v>
      </c>
      <c r="T219" s="324">
        <f>650*12</f>
        <v>7800</v>
      </c>
      <c r="U219" s="324">
        <v>-4550</v>
      </c>
      <c r="V219" s="324">
        <f>650*11+770</f>
        <v>7920</v>
      </c>
      <c r="W219" s="407">
        <v>-5850</v>
      </c>
      <c r="X219" s="458">
        <f>ROUNDUP(12*70*4+12*450*2,-2)</f>
        <v>14200</v>
      </c>
      <c r="Y219" s="37">
        <v>-6260</v>
      </c>
      <c r="Z219" s="458">
        <f>ROUNDUP(12*70*4+12*450*2,-2)</f>
        <v>14200</v>
      </c>
      <c r="AA219" s="296">
        <v>-14800</v>
      </c>
      <c r="AB219" s="458">
        <f>ROUNDUP(12*70*4+12*450*2,-2)</f>
        <v>14200</v>
      </c>
      <c r="AC219" s="296">
        <v>-14800</v>
      </c>
      <c r="AD219" s="458">
        <f>ROUNDUP(12*70*4+12*450*2,-2)</f>
        <v>14200</v>
      </c>
      <c r="AE219" s="296">
        <v>-16550</v>
      </c>
      <c r="AF219" s="859">
        <f>ROUNDUP(1640*12,-2)-1000</f>
        <v>18700</v>
      </c>
      <c r="AG219" s="674">
        <v>-11936.74</v>
      </c>
      <c r="AH219" s="859">
        <f>ROUNDUP(1640*12,-2)-1000</f>
        <v>18700</v>
      </c>
      <c r="AI219" s="859">
        <f>ROUNDUP(1640*12,-2)-1000</f>
        <v>18700</v>
      </c>
      <c r="AJ219" s="859">
        <f>ROUNDUP(1640*12,-2)-1000</f>
        <v>18700</v>
      </c>
      <c r="AK219" s="734" t="s">
        <v>440</v>
      </c>
      <c r="AM219" s="106"/>
      <c r="AN219" s="106"/>
    </row>
    <row r="220" spans="1:40">
      <c r="A220" s="80">
        <v>5</v>
      </c>
      <c r="B220" s="14" t="s">
        <v>16</v>
      </c>
      <c r="C220" s="14">
        <v>3</v>
      </c>
      <c r="D220" s="14" t="s">
        <v>16</v>
      </c>
      <c r="E220" s="15" t="s">
        <v>86</v>
      </c>
      <c r="F220" s="14" t="s">
        <v>16</v>
      </c>
      <c r="G220" s="81" t="s">
        <v>86</v>
      </c>
      <c r="H220" s="251" t="s">
        <v>243</v>
      </c>
      <c r="I220" s="396">
        <v>4600</v>
      </c>
      <c r="J220" s="321">
        <v>5590</v>
      </c>
      <c r="K220" s="320">
        <v>4600</v>
      </c>
      <c r="L220" s="321">
        <v>4710</v>
      </c>
      <c r="M220" s="320">
        <v>4600</v>
      </c>
      <c r="N220" s="321">
        <v>5970</v>
      </c>
      <c r="O220" s="322">
        <v>4600</v>
      </c>
      <c r="P220" s="321">
        <v>3480</v>
      </c>
      <c r="Q220" s="322">
        <v>8800</v>
      </c>
      <c r="R220" s="321">
        <v>5730</v>
      </c>
      <c r="S220" s="324">
        <f>7800+1500</f>
        <v>9300</v>
      </c>
      <c r="T220" s="324">
        <f>7800+1500</f>
        <v>9300</v>
      </c>
      <c r="U220" s="324">
        <v>-4998</v>
      </c>
      <c r="V220" s="113">
        <f>ROUNDUP(T220*1.024,-2)</f>
        <v>9600</v>
      </c>
      <c r="W220" s="407">
        <v>-6158</v>
      </c>
      <c r="X220" s="458">
        <f>ROUNDUP(70*6*12,-2)</f>
        <v>5100</v>
      </c>
      <c r="Y220" s="37">
        <v>-1820</v>
      </c>
      <c r="Z220" s="455">
        <f>ROUNDUP(70*6*12,-2)</f>
        <v>5100</v>
      </c>
      <c r="AA220" s="362">
        <v>-3990</v>
      </c>
      <c r="AB220" s="455">
        <f>ROUNDUP(70*6*12,-2)</f>
        <v>5100</v>
      </c>
      <c r="AC220" s="362">
        <v>-3990</v>
      </c>
      <c r="AD220" s="455">
        <f>ROUNDUP(70*6*12,-2)</f>
        <v>5100</v>
      </c>
      <c r="AE220" s="362">
        <v>-1960</v>
      </c>
      <c r="AF220" s="860">
        <f>ROUNDUP(0*6*12,-2)+1000</f>
        <v>1000</v>
      </c>
      <c r="AH220" s="860">
        <f>ROUNDUP(0*6*12,-2)+1000</f>
        <v>1000</v>
      </c>
      <c r="AI220" s="860">
        <f>ROUNDUP(0*6*12,-2)+1000</f>
        <v>1000</v>
      </c>
      <c r="AJ220" s="860">
        <f>ROUNDUP(0*6*12,-2)+1000</f>
        <v>1000</v>
      </c>
      <c r="AK220" s="734" t="s">
        <v>440</v>
      </c>
      <c r="AM220" s="106"/>
      <c r="AN220" s="106"/>
    </row>
    <row r="221" spans="1:40">
      <c r="A221" s="80">
        <v>5</v>
      </c>
      <c r="B221" s="14" t="s">
        <v>16</v>
      </c>
      <c r="C221" s="14">
        <v>3</v>
      </c>
      <c r="D221" s="14" t="s">
        <v>16</v>
      </c>
      <c r="E221" s="15" t="s">
        <v>86</v>
      </c>
      <c r="F221" s="14" t="s">
        <v>16</v>
      </c>
      <c r="G221" s="81" t="s">
        <v>73</v>
      </c>
      <c r="H221" s="251" t="s">
        <v>244</v>
      </c>
      <c r="I221" s="396">
        <v>1200</v>
      </c>
      <c r="J221" s="321">
        <v>2340.34</v>
      </c>
      <c r="K221" s="320">
        <v>1200</v>
      </c>
      <c r="L221" s="321">
        <v>0</v>
      </c>
      <c r="M221" s="320">
        <v>1200</v>
      </c>
      <c r="N221" s="321">
        <v>125.34</v>
      </c>
      <c r="O221" s="322">
        <v>1200</v>
      </c>
      <c r="P221" s="321">
        <v>0</v>
      </c>
      <c r="Q221" s="322">
        <v>0</v>
      </c>
      <c r="R221" s="321">
        <v>0</v>
      </c>
      <c r="S221" s="324">
        <v>0</v>
      </c>
      <c r="T221" s="324">
        <v>0</v>
      </c>
      <c r="U221" s="324">
        <v>0</v>
      </c>
      <c r="V221" s="324">
        <v>0</v>
      </c>
      <c r="W221" s="325">
        <v>0</v>
      </c>
      <c r="X221" s="326">
        <v>0</v>
      </c>
      <c r="Y221" s="116">
        <v>0</v>
      </c>
      <c r="Z221" s="117">
        <v>0</v>
      </c>
      <c r="AA221" s="118">
        <v>0</v>
      </c>
      <c r="AB221" s="117">
        <v>0</v>
      </c>
      <c r="AC221" s="118">
        <v>0</v>
      </c>
      <c r="AD221" s="117">
        <v>0</v>
      </c>
      <c r="AE221" s="118"/>
      <c r="AF221" s="117">
        <v>0</v>
      </c>
      <c r="AG221" s="745">
        <v>-4.58</v>
      </c>
      <c r="AH221" s="117">
        <v>0</v>
      </c>
      <c r="AI221" s="117">
        <v>0</v>
      </c>
      <c r="AJ221" s="867">
        <v>0</v>
      </c>
      <c r="AK221" s="706"/>
      <c r="AM221" s="106"/>
      <c r="AN221" s="106"/>
    </row>
    <row r="222" spans="1:40">
      <c r="A222" s="80">
        <v>5</v>
      </c>
      <c r="B222" s="14" t="s">
        <v>16</v>
      </c>
      <c r="C222" s="14">
        <v>3</v>
      </c>
      <c r="D222" s="14" t="s">
        <v>16</v>
      </c>
      <c r="E222" s="15" t="s">
        <v>86</v>
      </c>
      <c r="F222" s="14" t="s">
        <v>16</v>
      </c>
      <c r="G222" s="81" t="s">
        <v>77</v>
      </c>
      <c r="H222" s="251" t="s">
        <v>245</v>
      </c>
      <c r="I222" s="396">
        <v>6000</v>
      </c>
      <c r="J222" s="321">
        <v>3572.81</v>
      </c>
      <c r="K222" s="320">
        <v>6000</v>
      </c>
      <c r="L222" s="321">
        <v>0</v>
      </c>
      <c r="M222" s="320">
        <v>6000</v>
      </c>
      <c r="N222" s="321">
        <v>4299.25</v>
      </c>
      <c r="O222" s="322">
        <v>6000</v>
      </c>
      <c r="P222" s="321">
        <v>0</v>
      </c>
      <c r="Q222" s="322">
        <v>3000</v>
      </c>
      <c r="R222" s="321">
        <v>0</v>
      </c>
      <c r="S222" s="324">
        <v>4000</v>
      </c>
      <c r="T222" s="324">
        <v>4000</v>
      </c>
      <c r="U222" s="324">
        <v>0</v>
      </c>
      <c r="V222" s="324">
        <v>4000</v>
      </c>
      <c r="W222" s="325">
        <v>0</v>
      </c>
      <c r="X222" s="326">
        <v>4000</v>
      </c>
      <c r="Y222" s="116">
        <v>0</v>
      </c>
      <c r="Z222" s="326">
        <v>4000</v>
      </c>
      <c r="AA222" s="511">
        <v>-4008.51</v>
      </c>
      <c r="AB222" s="326">
        <v>4000</v>
      </c>
      <c r="AC222" s="511">
        <v>-4008.51</v>
      </c>
      <c r="AD222" s="326">
        <v>4000</v>
      </c>
      <c r="AE222" s="511">
        <f>-5641.11+1648.2</f>
        <v>-3992.91</v>
      </c>
      <c r="AF222" s="326">
        <v>4000</v>
      </c>
      <c r="AG222" s="769"/>
      <c r="AH222" s="326">
        <v>4000</v>
      </c>
      <c r="AI222" s="326">
        <v>4000</v>
      </c>
      <c r="AJ222" s="326">
        <v>4000</v>
      </c>
      <c r="AK222" s="706"/>
      <c r="AM222" s="106"/>
      <c r="AN222" s="106"/>
    </row>
    <row r="223" spans="1:40">
      <c r="A223" s="144"/>
      <c r="B223" s="680"/>
      <c r="C223" s="680"/>
      <c r="D223" s="680"/>
      <c r="E223" s="676"/>
      <c r="F223" s="680"/>
      <c r="G223" s="145"/>
      <c r="H223" s="146" t="s">
        <v>246</v>
      </c>
      <c r="I223" s="495">
        <f t="shared" ref="I223:P223" si="86">SUM(I218:I222)</f>
        <v>26500</v>
      </c>
      <c r="J223" s="496">
        <f t="shared" si="86"/>
        <v>23885.61</v>
      </c>
      <c r="K223" s="495">
        <f t="shared" si="86"/>
        <v>26500</v>
      </c>
      <c r="L223" s="496">
        <f t="shared" si="86"/>
        <v>13900.05</v>
      </c>
      <c r="M223" s="495">
        <f t="shared" si="86"/>
        <v>26500</v>
      </c>
      <c r="N223" s="496">
        <f t="shared" si="86"/>
        <v>23447.31</v>
      </c>
      <c r="O223" s="497">
        <f t="shared" si="86"/>
        <v>26500</v>
      </c>
      <c r="P223" s="512">
        <f t="shared" si="86"/>
        <v>9710.2999999999993</v>
      </c>
      <c r="Q223" s="497">
        <v>26500</v>
      </c>
      <c r="R223" s="512">
        <f>SUM(R218:R222)</f>
        <v>14881.7</v>
      </c>
      <c r="S223" s="499">
        <f>SUM(S218:S222)</f>
        <v>28000</v>
      </c>
      <c r="T223" s="499">
        <f>SUM(T218:T222)</f>
        <v>28000</v>
      </c>
      <c r="U223" s="499"/>
      <c r="V223" s="499">
        <f>SUM(V218:V222)</f>
        <v>28420</v>
      </c>
      <c r="W223" s="500">
        <f>SUM(W218:W222)</f>
        <v>-14795.34</v>
      </c>
      <c r="X223" s="501">
        <f>SUM(X218:X222)</f>
        <v>29500</v>
      </c>
      <c r="Y223" s="502">
        <v>-9936.85</v>
      </c>
      <c r="Z223" s="503">
        <v>32000</v>
      </c>
      <c r="AA223" s="503">
        <f>SUM(AA218:AA222)</f>
        <v>-31544.47</v>
      </c>
      <c r="AB223" s="503">
        <v>32000</v>
      </c>
      <c r="AC223" s="879">
        <v>-36072.25</v>
      </c>
      <c r="AD223" s="503">
        <v>32000</v>
      </c>
      <c r="AE223" s="503">
        <f>+SUM(AE218:AE222)</f>
        <v>-31515.039999999997</v>
      </c>
      <c r="AF223" s="503">
        <f>32000+1200</f>
        <v>33200</v>
      </c>
      <c r="AG223" s="503">
        <f>32000+1200+SUM(AG218:AG222)</f>
        <v>17697.97</v>
      </c>
      <c r="AH223" s="503">
        <f>32000+1200</f>
        <v>33200</v>
      </c>
      <c r="AI223" s="503">
        <f>32000+1200</f>
        <v>33200</v>
      </c>
      <c r="AJ223" s="503">
        <f>32000+1200</f>
        <v>33200</v>
      </c>
      <c r="AK223" s="702" t="s">
        <v>233</v>
      </c>
      <c r="AM223" s="106"/>
      <c r="AN223" s="106"/>
    </row>
    <row r="224" spans="1:40">
      <c r="A224" s="80"/>
      <c r="B224" s="14"/>
      <c r="C224" s="14"/>
      <c r="D224" s="14"/>
      <c r="E224" s="15"/>
      <c r="F224" s="14"/>
      <c r="G224" s="81"/>
      <c r="H224" s="513"/>
      <c r="I224" s="281"/>
      <c r="J224" s="289"/>
      <c r="K224" s="281"/>
      <c r="L224" s="289"/>
      <c r="M224" s="281"/>
      <c r="N224" s="289"/>
      <c r="O224" s="121"/>
      <c r="P224" s="282"/>
      <c r="Q224" s="121"/>
      <c r="R224" s="282"/>
      <c r="S224" s="283"/>
      <c r="T224" s="283"/>
      <c r="U224" s="283"/>
      <c r="V224" s="283"/>
      <c r="W224" s="284"/>
      <c r="X224" s="285"/>
      <c r="Y224" s="286"/>
      <c r="Z224" s="287"/>
      <c r="AA224" s="288"/>
      <c r="AB224" s="287"/>
      <c r="AC224" s="288"/>
      <c r="AD224" s="287"/>
      <c r="AE224" s="288"/>
      <c r="AF224" s="287"/>
      <c r="AG224" s="753"/>
      <c r="AH224" s="287"/>
      <c r="AI224" s="287"/>
      <c r="AJ224" s="287"/>
      <c r="AK224" s="706"/>
      <c r="AM224" s="106"/>
      <c r="AN224" s="106"/>
    </row>
    <row r="225" spans="1:49">
      <c r="A225" s="66">
        <v>5</v>
      </c>
      <c r="B225" s="67" t="s">
        <v>16</v>
      </c>
      <c r="C225" s="67">
        <v>3</v>
      </c>
      <c r="D225" s="67" t="s">
        <v>16</v>
      </c>
      <c r="E225" s="68" t="s">
        <v>73</v>
      </c>
      <c r="F225" s="67" t="s">
        <v>16</v>
      </c>
      <c r="G225" s="69" t="s">
        <v>70</v>
      </c>
      <c r="H225" s="238" t="s">
        <v>247</v>
      </c>
      <c r="I225" s="239"/>
      <c r="J225" s="240"/>
      <c r="K225" s="239"/>
      <c r="L225" s="240"/>
      <c r="M225" s="239"/>
      <c r="N225" s="240"/>
      <c r="O225" s="239"/>
      <c r="P225" s="240"/>
      <c r="Q225" s="239"/>
      <c r="R225" s="240"/>
      <c r="S225" s="243"/>
      <c r="T225" s="243"/>
      <c r="U225" s="243"/>
      <c r="V225" s="243"/>
      <c r="W225" s="244"/>
      <c r="X225" s="245"/>
      <c r="Y225" s="246"/>
      <c r="Z225" s="247"/>
      <c r="AA225" s="248"/>
      <c r="AB225" s="247"/>
      <c r="AC225" s="248"/>
      <c r="AD225" s="247"/>
      <c r="AE225" s="248"/>
      <c r="AF225" s="247"/>
      <c r="AG225" s="752"/>
      <c r="AH225" s="247"/>
      <c r="AI225" s="247"/>
      <c r="AJ225" s="247"/>
      <c r="AK225" s="710"/>
      <c r="AM225" s="106"/>
      <c r="AN225" s="106"/>
    </row>
    <row r="226" spans="1:49">
      <c r="A226" s="80">
        <v>5</v>
      </c>
      <c r="B226" s="14" t="s">
        <v>16</v>
      </c>
      <c r="C226" s="14">
        <v>3</v>
      </c>
      <c r="D226" s="14" t="s">
        <v>16</v>
      </c>
      <c r="E226" s="15" t="s">
        <v>73</v>
      </c>
      <c r="F226" s="14" t="s">
        <v>16</v>
      </c>
      <c r="G226" s="81" t="s">
        <v>81</v>
      </c>
      <c r="H226" s="250" t="s">
        <v>248</v>
      </c>
      <c r="I226" s="463">
        <v>7100</v>
      </c>
      <c r="J226" s="413">
        <v>8387.9699999999993</v>
      </c>
      <c r="K226" s="412">
        <v>7100</v>
      </c>
      <c r="L226" s="413">
        <v>1007.9</v>
      </c>
      <c r="M226" s="412">
        <v>7100</v>
      </c>
      <c r="N226" s="413">
        <v>4477.24</v>
      </c>
      <c r="O226" s="412">
        <v>7100</v>
      </c>
      <c r="P226" s="413">
        <v>48</v>
      </c>
      <c r="Q226" s="412">
        <v>7100</v>
      </c>
      <c r="R226" s="413">
        <v>48</v>
      </c>
      <c r="S226" s="465">
        <v>7100</v>
      </c>
      <c r="T226" s="465">
        <v>7100</v>
      </c>
      <c r="U226" s="465">
        <v>-1435.38</v>
      </c>
      <c r="V226" s="465">
        <v>7100</v>
      </c>
      <c r="W226" s="466">
        <v>-2376.89</v>
      </c>
      <c r="X226" s="217">
        <f>25500-X227-X228</f>
        <v>2400</v>
      </c>
      <c r="Y226" s="218">
        <v>-441.98</v>
      </c>
      <c r="Z226" s="217">
        <f>Z229-Z227-Z228</f>
        <v>4900</v>
      </c>
      <c r="AA226" s="492">
        <v>-3364.31</v>
      </c>
      <c r="AB226" s="217">
        <f>AB229-AB227-AB228</f>
        <v>4900</v>
      </c>
      <c r="AC226" s="492">
        <v>-3364.31</v>
      </c>
      <c r="AD226" s="217">
        <f>AD229-AD227-AD228</f>
        <v>4900</v>
      </c>
      <c r="AE226" s="492">
        <v>-3824.54</v>
      </c>
      <c r="AF226" s="854">
        <f>AF229-AF227-AF228</f>
        <v>4900</v>
      </c>
      <c r="AG226" s="766">
        <v>-1216.53</v>
      </c>
      <c r="AH226" s="854">
        <f>AH229-AH227-AH228</f>
        <v>4900</v>
      </c>
      <c r="AI226" s="854">
        <f>AI229-AI227-AI228</f>
        <v>4900</v>
      </c>
      <c r="AJ226" s="854">
        <f>AJ229-AJ227-AJ228</f>
        <v>4900</v>
      </c>
      <c r="AK226" s="707" t="s">
        <v>442</v>
      </c>
      <c r="AM226" s="106"/>
      <c r="AN226" s="106"/>
    </row>
    <row r="227" spans="1:49">
      <c r="A227" s="80">
        <v>5</v>
      </c>
      <c r="B227" s="14" t="s">
        <v>16</v>
      </c>
      <c r="C227" s="14">
        <v>3</v>
      </c>
      <c r="D227" s="14" t="s">
        <v>16</v>
      </c>
      <c r="E227" s="15" t="s">
        <v>73</v>
      </c>
      <c r="F227" s="14" t="s">
        <v>16</v>
      </c>
      <c r="G227" s="81" t="s">
        <v>84</v>
      </c>
      <c r="H227" s="251" t="s">
        <v>249</v>
      </c>
      <c r="I227" s="396">
        <v>7800</v>
      </c>
      <c r="J227" s="321">
        <v>3600</v>
      </c>
      <c r="K227" s="320">
        <v>7800</v>
      </c>
      <c r="L227" s="321">
        <v>7220</v>
      </c>
      <c r="M227" s="320">
        <v>7800</v>
      </c>
      <c r="N227" s="321">
        <v>9200</v>
      </c>
      <c r="O227" s="320">
        <v>7800</v>
      </c>
      <c r="P227" s="321">
        <v>3220</v>
      </c>
      <c r="Q227" s="320">
        <v>5800</v>
      </c>
      <c r="R227" s="321">
        <v>4420</v>
      </c>
      <c r="S227" s="324">
        <v>7800</v>
      </c>
      <c r="T227" s="324">
        <v>7800</v>
      </c>
      <c r="U227" s="324">
        <v>-5420</v>
      </c>
      <c r="V227" s="324">
        <f>650*11+770</f>
        <v>7920</v>
      </c>
      <c r="W227" s="466">
        <v>-7300</v>
      </c>
      <c r="X227" s="89">
        <f>ROUNDUP(180*4*12+200*2*12,-2)</f>
        <v>13500</v>
      </c>
      <c r="Y227" s="90">
        <v>-3800</v>
      </c>
      <c r="Z227" s="89">
        <f>ROUNDUP(180*4*12+200*2*12,-2)</f>
        <v>13500</v>
      </c>
      <c r="AA227" s="296">
        <v>-10380</v>
      </c>
      <c r="AB227" s="89">
        <f>ROUNDUP(180*4*12+200*2*12,-2)</f>
        <v>13500</v>
      </c>
      <c r="AC227" s="296">
        <v>-10380</v>
      </c>
      <c r="AD227" s="89">
        <f>ROUNDUP(180*4*12+200*2*12,-2)</f>
        <v>13500</v>
      </c>
      <c r="AE227" s="296">
        <v>-14880</v>
      </c>
      <c r="AF227" s="89">
        <f>ROUNDUP(1120*12,-2)</f>
        <v>13500</v>
      </c>
      <c r="AG227" s="674">
        <v>-9060</v>
      </c>
      <c r="AH227" s="857">
        <f>ROUNDUP(1120*12,-2)</f>
        <v>13500</v>
      </c>
      <c r="AI227" s="857">
        <f>ROUNDUP(1120*12,-2)</f>
        <v>13500</v>
      </c>
      <c r="AJ227" s="857">
        <f>ROUNDUP(1120*12,-2)</f>
        <v>13500</v>
      </c>
      <c r="AK227" s="734" t="s">
        <v>230</v>
      </c>
      <c r="AM227" s="106"/>
      <c r="AN227" s="106"/>
    </row>
    <row r="228" spans="1:49">
      <c r="A228" s="80">
        <v>5</v>
      </c>
      <c r="B228" s="14" t="s">
        <v>16</v>
      </c>
      <c r="C228" s="14">
        <v>3</v>
      </c>
      <c r="D228" s="14" t="s">
        <v>16</v>
      </c>
      <c r="E228" s="15" t="s">
        <v>73</v>
      </c>
      <c r="F228" s="14" t="s">
        <v>16</v>
      </c>
      <c r="G228" s="81" t="s">
        <v>86</v>
      </c>
      <c r="H228" s="251" t="s">
        <v>250</v>
      </c>
      <c r="I228" s="396">
        <v>8100</v>
      </c>
      <c r="J228" s="321">
        <v>9774.66</v>
      </c>
      <c r="K228" s="320">
        <v>8100</v>
      </c>
      <c r="L228" s="321">
        <v>4840</v>
      </c>
      <c r="M228" s="320">
        <v>8100</v>
      </c>
      <c r="N228" s="321">
        <v>6880</v>
      </c>
      <c r="O228" s="320">
        <v>8100</v>
      </c>
      <c r="P228" s="321">
        <v>4760</v>
      </c>
      <c r="Q228" s="320">
        <v>10100</v>
      </c>
      <c r="R228" s="321">
        <v>8326.68</v>
      </c>
      <c r="S228" s="324">
        <f>8100+1500</f>
        <v>9600</v>
      </c>
      <c r="T228" s="324">
        <f>8100+1500</f>
        <v>9600</v>
      </c>
      <c r="U228" s="324">
        <v>-3930</v>
      </c>
      <c r="V228" s="113">
        <f>ROUNDUP(T228*1.024,-2)</f>
        <v>9900</v>
      </c>
      <c r="W228" s="325">
        <v>-5330</v>
      </c>
      <c r="X228" s="115">
        <f>ROUNDUP(276*2*12+240*12,-2)</f>
        <v>9600</v>
      </c>
      <c r="Y228" s="116">
        <v>-4255.46</v>
      </c>
      <c r="Z228" s="115">
        <f>ROUNDUP(276*2*12+240*12,-2)</f>
        <v>9600</v>
      </c>
      <c r="AA228" s="494">
        <v>-10135.459999999999</v>
      </c>
      <c r="AB228" s="115">
        <f>ROUNDUP(276*2*12+240*12,-2)</f>
        <v>9600</v>
      </c>
      <c r="AC228" s="494">
        <v>-10135.459999999999</v>
      </c>
      <c r="AD228" s="115">
        <f>ROUNDUP(276*2*12+240*12,-2)</f>
        <v>9600</v>
      </c>
      <c r="AE228" s="494">
        <v>-10224</v>
      </c>
      <c r="AF228" s="855">
        <f>ROUNDUP(900*12,-2)</f>
        <v>10800</v>
      </c>
      <c r="AG228" s="767">
        <v>-5400</v>
      </c>
      <c r="AH228" s="855">
        <f>ROUNDUP(900*12,-2)</f>
        <v>10800</v>
      </c>
      <c r="AI228" s="855">
        <f>ROUNDUP(900*12,-2)</f>
        <v>10800</v>
      </c>
      <c r="AJ228" s="855">
        <f>ROUNDUP(900*12,-2)</f>
        <v>10800</v>
      </c>
      <c r="AK228" s="734" t="s">
        <v>230</v>
      </c>
      <c r="AM228" s="106"/>
      <c r="AN228" s="106"/>
    </row>
    <row r="229" spans="1:49">
      <c r="A229" s="144"/>
      <c r="B229" s="680"/>
      <c r="C229" s="680"/>
      <c r="D229" s="680"/>
      <c r="E229" s="676"/>
      <c r="F229" s="680"/>
      <c r="G229" s="145"/>
      <c r="H229" s="146" t="s">
        <v>251</v>
      </c>
      <c r="I229" s="495">
        <f t="shared" ref="I229:P229" si="87">SUM(I226:I228)</f>
        <v>23000</v>
      </c>
      <c r="J229" s="496">
        <f t="shared" si="87"/>
        <v>21762.629999999997</v>
      </c>
      <c r="K229" s="495">
        <f t="shared" si="87"/>
        <v>23000</v>
      </c>
      <c r="L229" s="496">
        <f t="shared" si="87"/>
        <v>13067.9</v>
      </c>
      <c r="M229" s="495">
        <f t="shared" si="87"/>
        <v>23000</v>
      </c>
      <c r="N229" s="496">
        <f t="shared" si="87"/>
        <v>20557.239999999998</v>
      </c>
      <c r="O229" s="495">
        <f t="shared" si="87"/>
        <v>23000</v>
      </c>
      <c r="P229" s="496">
        <f t="shared" si="87"/>
        <v>8028</v>
      </c>
      <c r="Q229" s="495">
        <v>23000</v>
      </c>
      <c r="R229" s="496">
        <f>SUM(R226:R228)</f>
        <v>12794.68</v>
      </c>
      <c r="S229" s="499">
        <f>SUM(S226:S228)</f>
        <v>24500</v>
      </c>
      <c r="T229" s="499">
        <f>SUM(T226:T228)</f>
        <v>24500</v>
      </c>
      <c r="U229" s="499"/>
      <c r="V229" s="499">
        <f>SUM(V226:V228)</f>
        <v>24920</v>
      </c>
      <c r="W229" s="500">
        <v>-15006.89</v>
      </c>
      <c r="X229" s="501">
        <f>SUM(X226:X228)</f>
        <v>25500</v>
      </c>
      <c r="Y229" s="502">
        <v>-8497.44</v>
      </c>
      <c r="Z229" s="503">
        <v>28000</v>
      </c>
      <c r="AA229" s="503">
        <f>SUM(AA226:AA228)</f>
        <v>-23879.769999999997</v>
      </c>
      <c r="AB229" s="503">
        <v>28000</v>
      </c>
      <c r="AC229" s="879">
        <v>-22979.77</v>
      </c>
      <c r="AD229" s="503">
        <v>28000</v>
      </c>
      <c r="AE229" s="501">
        <f>SUM(AE226:AE228)</f>
        <v>-28928.54</v>
      </c>
      <c r="AF229" s="501">
        <v>29200</v>
      </c>
      <c r="AG229" s="501">
        <f>SUM(AG226:AG228)</f>
        <v>-15676.53</v>
      </c>
      <c r="AH229" s="501">
        <v>29200</v>
      </c>
      <c r="AI229" s="501">
        <v>29200</v>
      </c>
      <c r="AJ229" s="501">
        <v>29200</v>
      </c>
      <c r="AK229" s="702" t="s">
        <v>233</v>
      </c>
      <c r="AM229" s="106"/>
      <c r="AN229" s="106"/>
    </row>
    <row r="230" spans="1:49">
      <c r="A230" s="80"/>
      <c r="B230" s="14"/>
      <c r="C230" s="14"/>
      <c r="D230" s="14"/>
      <c r="E230" s="15"/>
      <c r="F230" s="14"/>
      <c r="G230" s="81"/>
      <c r="H230" s="513"/>
      <c r="I230" s="281"/>
      <c r="J230" s="289"/>
      <c r="K230" s="281"/>
      <c r="L230" s="289"/>
      <c r="M230" s="281"/>
      <c r="N230" s="289"/>
      <c r="O230" s="121"/>
      <c r="P230" s="282"/>
      <c r="Q230" s="121"/>
      <c r="R230" s="282"/>
      <c r="S230" s="283"/>
      <c r="T230" s="283"/>
      <c r="U230" s="283"/>
      <c r="V230" s="283"/>
      <c r="W230" s="284"/>
      <c r="X230" s="285"/>
      <c r="Y230" s="286"/>
      <c r="Z230" s="287"/>
      <c r="AA230" s="288"/>
      <c r="AB230" s="287"/>
      <c r="AC230" s="288"/>
      <c r="AD230" s="287"/>
      <c r="AE230" s="288"/>
      <c r="AF230" s="287"/>
      <c r="AG230" s="753"/>
      <c r="AH230" s="287"/>
      <c r="AI230" s="287"/>
      <c r="AJ230" s="287"/>
      <c r="AK230" s="706"/>
      <c r="AM230" s="106"/>
      <c r="AN230" s="106"/>
    </row>
    <row r="231" spans="1:49">
      <c r="A231" s="66">
        <v>5</v>
      </c>
      <c r="B231" s="67" t="s">
        <v>16</v>
      </c>
      <c r="C231" s="67">
        <v>3</v>
      </c>
      <c r="D231" s="67" t="s">
        <v>16</v>
      </c>
      <c r="E231" s="68" t="s">
        <v>90</v>
      </c>
      <c r="F231" s="67" t="s">
        <v>16</v>
      </c>
      <c r="G231" s="69" t="s">
        <v>70</v>
      </c>
      <c r="H231" s="238" t="s">
        <v>252</v>
      </c>
      <c r="I231" s="239"/>
      <c r="J231" s="240"/>
      <c r="K231" s="239"/>
      <c r="L231" s="240"/>
      <c r="M231" s="239"/>
      <c r="N231" s="240"/>
      <c r="O231" s="241"/>
      <c r="P231" s="240"/>
      <c r="Q231" s="241"/>
      <c r="R231" s="240"/>
      <c r="S231" s="243"/>
      <c r="T231" s="243"/>
      <c r="U231" s="243"/>
      <c r="V231" s="243"/>
      <c r="W231" s="244"/>
      <c r="X231" s="245"/>
      <c r="Y231" s="246"/>
      <c r="Z231" s="247"/>
      <c r="AA231" s="248"/>
      <c r="AB231" s="247"/>
      <c r="AC231" s="248"/>
      <c r="AD231" s="247"/>
      <c r="AE231" s="248"/>
      <c r="AF231" s="247"/>
      <c r="AG231" s="752"/>
      <c r="AH231" s="247"/>
      <c r="AI231" s="247"/>
      <c r="AJ231" s="247"/>
      <c r="AK231" s="710"/>
      <c r="AL231" s="514"/>
      <c r="AM231" s="106"/>
      <c r="AN231" s="106"/>
      <c r="AO231" s="65"/>
      <c r="AP231" s="65"/>
      <c r="AQ231" s="65"/>
      <c r="AR231" s="65"/>
      <c r="AS231" s="65"/>
      <c r="AT231" s="65"/>
      <c r="AU231" s="65"/>
      <c r="AV231" s="65"/>
      <c r="AW231" s="65"/>
    </row>
    <row r="232" spans="1:49" ht="30">
      <c r="A232" s="80">
        <v>5</v>
      </c>
      <c r="B232" s="14" t="s">
        <v>16</v>
      </c>
      <c r="C232" s="14">
        <v>3</v>
      </c>
      <c r="D232" s="14" t="s">
        <v>16</v>
      </c>
      <c r="E232" s="15" t="s">
        <v>90</v>
      </c>
      <c r="F232" s="14" t="s">
        <v>16</v>
      </c>
      <c r="G232" s="81" t="s">
        <v>81</v>
      </c>
      <c r="H232" s="250" t="s">
        <v>253</v>
      </c>
      <c r="I232" s="463">
        <v>7000</v>
      </c>
      <c r="J232" s="413">
        <v>6725.12</v>
      </c>
      <c r="K232" s="412">
        <f>ROUNDUP(((K206+K212+K227)*450/650+(K207+K213+K228)*140/200)*0.2915,-2)</f>
        <v>9700</v>
      </c>
      <c r="L232" s="413">
        <v>8079.85</v>
      </c>
      <c r="M232" s="412">
        <f>ROUNDUP(((M206+M212+M227)*450/650+(M207+M213+M228)*140/200)*0.2915,-2)</f>
        <v>9700</v>
      </c>
      <c r="N232" s="413">
        <v>11508.85</v>
      </c>
      <c r="O232" s="464">
        <f>ROUNDUP(((O206+O212+O227)*450/650+(O207+O213+O228)*140/200)*0.2915,-2)</f>
        <v>11000</v>
      </c>
      <c r="P232" s="413">
        <v>7636.05</v>
      </c>
      <c r="Q232" s="464">
        <v>11000</v>
      </c>
      <c r="R232" s="413">
        <v>11100.17</v>
      </c>
      <c r="S232" s="465">
        <v>12000</v>
      </c>
      <c r="T232" s="465">
        <v>12000</v>
      </c>
      <c r="U232" s="465">
        <v>-6391.41</v>
      </c>
      <c r="V232" s="465">
        <f>ROUNDUP(((V206+V212+V227)*450/650+(V207+V213+V228)*140/200)*0.2915,-2)</f>
        <v>12900</v>
      </c>
      <c r="W232" s="466">
        <v>-8114.39</v>
      </c>
      <c r="X232" s="467">
        <f>ROUNDUP(((X206+X212+X227)*450/650+(X207+X213+X228)*140/200)*0.2915,-2)</f>
        <v>13600</v>
      </c>
      <c r="Y232" s="218">
        <v>-3849.2</v>
      </c>
      <c r="Z232" s="468">
        <v>15000</v>
      </c>
      <c r="AA232" s="469">
        <v>-10505.05</v>
      </c>
      <c r="AB232" s="468">
        <v>15000</v>
      </c>
      <c r="AC232" s="469">
        <v>-10505.05</v>
      </c>
      <c r="AD232" s="468">
        <v>12000</v>
      </c>
      <c r="AE232" s="469">
        <v>-11980.82</v>
      </c>
      <c r="AF232" s="468">
        <v>12000</v>
      </c>
      <c r="AG232" s="673">
        <v>-6446.28</v>
      </c>
      <c r="AH232" s="468">
        <v>12000</v>
      </c>
      <c r="AI232" s="468">
        <v>12000</v>
      </c>
      <c r="AJ232" s="468">
        <v>12000</v>
      </c>
      <c r="AK232" s="868" t="s">
        <v>182</v>
      </c>
      <c r="AL232" s="514"/>
      <c r="AM232" s="106"/>
      <c r="AN232" s="106"/>
      <c r="AO232" s="192"/>
      <c r="AP232" s="65"/>
      <c r="AQ232" s="65"/>
      <c r="AR232" s="65"/>
      <c r="AS232" s="65"/>
      <c r="AT232" s="65"/>
      <c r="AU232" s="65"/>
      <c r="AV232" s="65"/>
      <c r="AW232" s="65"/>
    </row>
    <row r="233" spans="1:49" ht="30">
      <c r="A233" s="80">
        <v>5</v>
      </c>
      <c r="B233" s="14" t="s">
        <v>16</v>
      </c>
      <c r="C233" s="14">
        <v>3</v>
      </c>
      <c r="D233" s="14" t="s">
        <v>16</v>
      </c>
      <c r="E233" s="15" t="s">
        <v>90</v>
      </c>
      <c r="F233" s="14" t="s">
        <v>16</v>
      </c>
      <c r="G233" s="81" t="s">
        <v>84</v>
      </c>
      <c r="H233" s="515" t="s">
        <v>183</v>
      </c>
      <c r="I233" s="396">
        <v>900</v>
      </c>
      <c r="J233" s="321">
        <v>502.56</v>
      </c>
      <c r="K233" s="320">
        <f>ROUNDUP(((K206+K212+K227)*450/650+(K207+K213+K228)*140/200)*0.02,-2)</f>
        <v>700</v>
      </c>
      <c r="L233" s="321">
        <v>575.88</v>
      </c>
      <c r="M233" s="320">
        <f>ROUNDUP(((M206+M212+M227)*450/650+(M207+M213+M228)*140/200)*0.02,-2)</f>
        <v>700</v>
      </c>
      <c r="N233" s="321">
        <v>780.14</v>
      </c>
      <c r="O233" s="322">
        <f>ROUNDUP(((O206+O212+O227)*450/650+(O207+O213+O228)*140/200)*0.02,-2)</f>
        <v>800</v>
      </c>
      <c r="P233" s="321">
        <v>442.3</v>
      </c>
      <c r="Q233" s="322">
        <v>800</v>
      </c>
      <c r="R233" s="321">
        <v>645.19000000000005</v>
      </c>
      <c r="S233" s="324">
        <v>800</v>
      </c>
      <c r="T233" s="324">
        <v>800</v>
      </c>
      <c r="U233" s="324">
        <v>-314.70999999999998</v>
      </c>
      <c r="V233" s="324">
        <f>ROUNDUP(((V206+V212+V227)*450/650+(V207+V213+V228)*140/200)*0.02,-2)</f>
        <v>900</v>
      </c>
      <c r="W233" s="325">
        <v>-402.55</v>
      </c>
      <c r="X233" s="326">
        <f>ROUNDUP(((X206+X212+X227)*450/650+(X207+X213+X228)*140/200)*0.02,-2)</f>
        <v>1000</v>
      </c>
      <c r="Y233" s="116">
        <v>-245.1</v>
      </c>
      <c r="Z233" s="418">
        <v>1000</v>
      </c>
      <c r="AA233" s="469">
        <v>-596.24</v>
      </c>
      <c r="AB233" s="418">
        <v>1000</v>
      </c>
      <c r="AC233" s="469">
        <v>-596.24</v>
      </c>
      <c r="AD233" s="418">
        <v>700</v>
      </c>
      <c r="AE233" s="469">
        <v>-595.84</v>
      </c>
      <c r="AF233" s="418">
        <v>700</v>
      </c>
      <c r="AG233" s="673">
        <v>-323.56</v>
      </c>
      <c r="AH233" s="418">
        <v>700</v>
      </c>
      <c r="AI233" s="418">
        <v>700</v>
      </c>
      <c r="AJ233" s="418">
        <v>700</v>
      </c>
      <c r="AK233" s="868" t="s">
        <v>182</v>
      </c>
      <c r="AM233" s="106"/>
      <c r="AN233" s="106"/>
    </row>
    <row r="234" spans="1:49">
      <c r="A234" s="80">
        <v>5</v>
      </c>
      <c r="B234" s="14" t="s">
        <v>16</v>
      </c>
      <c r="C234" s="14">
        <v>3</v>
      </c>
      <c r="D234" s="14" t="s">
        <v>16</v>
      </c>
      <c r="E234" s="15" t="s">
        <v>90</v>
      </c>
      <c r="F234" s="14" t="s">
        <v>16</v>
      </c>
      <c r="G234" s="81" t="s">
        <v>90</v>
      </c>
      <c r="H234" s="516" t="s">
        <v>254</v>
      </c>
      <c r="I234" s="320">
        <v>0</v>
      </c>
      <c r="J234" s="321">
        <v>0</v>
      </c>
      <c r="K234" s="320">
        <v>0</v>
      </c>
      <c r="L234" s="321">
        <v>0</v>
      </c>
      <c r="M234" s="320">
        <v>0</v>
      </c>
      <c r="N234" s="321">
        <v>0</v>
      </c>
      <c r="O234" s="322">
        <v>0</v>
      </c>
      <c r="P234" s="321">
        <v>0</v>
      </c>
      <c r="Q234" s="322">
        <v>0</v>
      </c>
      <c r="R234" s="321">
        <v>0</v>
      </c>
      <c r="S234" s="324">
        <v>0</v>
      </c>
      <c r="T234" s="324">
        <v>0</v>
      </c>
      <c r="U234" s="324">
        <v>0</v>
      </c>
      <c r="V234" s="324">
        <v>0</v>
      </c>
      <c r="W234" s="325">
        <v>0</v>
      </c>
      <c r="X234" s="326">
        <v>0</v>
      </c>
      <c r="Y234" s="116">
        <v>0</v>
      </c>
      <c r="Z234" s="117">
        <v>0</v>
      </c>
      <c r="AA234" s="118">
        <v>0</v>
      </c>
      <c r="AB234" s="117">
        <v>0</v>
      </c>
      <c r="AC234" s="118">
        <v>0</v>
      </c>
      <c r="AD234" s="117">
        <v>0</v>
      </c>
      <c r="AE234" s="118"/>
      <c r="AF234" s="117">
        <v>0</v>
      </c>
      <c r="AG234" s="745"/>
      <c r="AH234" s="117">
        <v>0</v>
      </c>
      <c r="AI234" s="117">
        <v>0</v>
      </c>
      <c r="AJ234" s="117">
        <v>0</v>
      </c>
      <c r="AK234" s="700"/>
      <c r="AM234" s="106"/>
      <c r="AN234" s="106"/>
    </row>
    <row r="235" spans="1:49">
      <c r="A235" s="144"/>
      <c r="B235" s="680"/>
      <c r="C235" s="680"/>
      <c r="D235" s="680"/>
      <c r="E235" s="676"/>
      <c r="F235" s="680"/>
      <c r="G235" s="145"/>
      <c r="H235" s="146" t="s">
        <v>255</v>
      </c>
      <c r="I235" s="495">
        <f t="shared" ref="I235:P235" si="88">SUM(I232:I234)</f>
        <v>7900</v>
      </c>
      <c r="J235" s="496">
        <f t="shared" si="88"/>
        <v>7227.68</v>
      </c>
      <c r="K235" s="495">
        <f t="shared" si="88"/>
        <v>10400</v>
      </c>
      <c r="L235" s="496">
        <f t="shared" si="88"/>
        <v>8655.73</v>
      </c>
      <c r="M235" s="495">
        <f t="shared" si="88"/>
        <v>10400</v>
      </c>
      <c r="N235" s="496">
        <f t="shared" si="88"/>
        <v>12288.99</v>
      </c>
      <c r="O235" s="497">
        <f t="shared" si="88"/>
        <v>11800</v>
      </c>
      <c r="P235" s="496">
        <f t="shared" si="88"/>
        <v>8078.35</v>
      </c>
      <c r="Q235" s="497">
        <v>11800</v>
      </c>
      <c r="R235" s="496">
        <f>SUM(R232:R234)</f>
        <v>11745.36</v>
      </c>
      <c r="S235" s="499">
        <f>SUM(S232:S234)</f>
        <v>12800</v>
      </c>
      <c r="T235" s="499">
        <f>SUM(T232:T234)</f>
        <v>12800</v>
      </c>
      <c r="U235" s="499"/>
      <c r="V235" s="499">
        <f>SUM(V232:V234)</f>
        <v>13800</v>
      </c>
      <c r="W235" s="500">
        <f>SUM(W232:W234)</f>
        <v>-8516.94</v>
      </c>
      <c r="X235" s="501">
        <f>SUM(X232:X234)</f>
        <v>14600</v>
      </c>
      <c r="Y235" s="502">
        <v>-4094.3</v>
      </c>
      <c r="Z235" s="501">
        <f>SUM(Z232:Z234)</f>
        <v>16000</v>
      </c>
      <c r="AA235" s="501">
        <f>SUM(AA232:AA234)</f>
        <v>-11101.289999999999</v>
      </c>
      <c r="AB235" s="501">
        <f>SUM(AB232:AB234)</f>
        <v>16000</v>
      </c>
      <c r="AC235" s="509">
        <v>-11101.29</v>
      </c>
      <c r="AD235" s="501">
        <f>SUM(AD232:AD234)</f>
        <v>12700</v>
      </c>
      <c r="AE235" s="501">
        <f t="shared" ref="AE235" si="89">SUM(AE232:AE234)</f>
        <v>-12576.66</v>
      </c>
      <c r="AF235" s="501">
        <f>SUM(AF232:AF234)</f>
        <v>12700</v>
      </c>
      <c r="AG235" s="501">
        <f t="shared" ref="AG235" si="90">SUM(AG232:AG234)</f>
        <v>-6769.84</v>
      </c>
      <c r="AH235" s="501">
        <f>SUM(AH232:AH234)</f>
        <v>12700</v>
      </c>
      <c r="AI235" s="501">
        <f>SUM(AI232:AI234)</f>
        <v>12700</v>
      </c>
      <c r="AJ235" s="501">
        <f>SUM(AJ232:AJ234)</f>
        <v>12700</v>
      </c>
      <c r="AK235" s="702"/>
      <c r="AM235" s="106"/>
      <c r="AN235" s="106"/>
    </row>
    <row r="236" spans="1:49">
      <c r="A236" s="80"/>
      <c r="B236" s="14"/>
      <c r="C236" s="14"/>
      <c r="D236" s="14"/>
      <c r="E236" s="15"/>
      <c r="F236" s="14"/>
      <c r="G236" s="81"/>
      <c r="H236" s="513"/>
      <c r="I236" s="396"/>
      <c r="J236" s="397"/>
      <c r="K236" s="396"/>
      <c r="L236" s="397"/>
      <c r="M236" s="396"/>
      <c r="N236" s="397"/>
      <c r="O236" s="427"/>
      <c r="P236" s="428"/>
      <c r="Q236" s="427"/>
      <c r="R236" s="428"/>
      <c r="S236" s="429"/>
      <c r="T236" s="429"/>
      <c r="U236" s="429"/>
      <c r="V236" s="429"/>
      <c r="W236" s="430"/>
      <c r="X236" s="431"/>
      <c r="Y236" s="286"/>
      <c r="Z236" s="287"/>
      <c r="AA236" s="287"/>
      <c r="AB236" s="287"/>
      <c r="AC236" s="288"/>
      <c r="AD236" s="287"/>
      <c r="AE236" s="288"/>
      <c r="AF236" s="287"/>
      <c r="AG236" s="753"/>
      <c r="AH236" s="287"/>
      <c r="AI236" s="287"/>
      <c r="AJ236" s="287"/>
      <c r="AK236" s="706"/>
      <c r="AM236" s="106"/>
      <c r="AN236" s="106"/>
    </row>
    <row r="237" spans="1:49">
      <c r="A237" s="222"/>
      <c r="B237" s="678"/>
      <c r="C237" s="678"/>
      <c r="D237" s="678"/>
      <c r="E237" s="681"/>
      <c r="F237" s="678"/>
      <c r="G237" s="223"/>
      <c r="H237" s="224" t="s">
        <v>256</v>
      </c>
      <c r="I237" s="517">
        <f t="shared" ref="I237:O237" si="91">I235+I229+I223+I215+I208</f>
        <v>108562</v>
      </c>
      <c r="J237" s="518">
        <f t="shared" si="91"/>
        <v>97181.209999999992</v>
      </c>
      <c r="K237" s="517">
        <f t="shared" si="91"/>
        <v>119400</v>
      </c>
      <c r="L237" s="518">
        <f t="shared" si="91"/>
        <v>68981.14</v>
      </c>
      <c r="M237" s="517">
        <f t="shared" si="91"/>
        <v>119400</v>
      </c>
      <c r="N237" s="518">
        <f t="shared" si="91"/>
        <v>111590.54000000001</v>
      </c>
      <c r="O237" s="519">
        <f t="shared" si="91"/>
        <v>113600</v>
      </c>
      <c r="P237" s="520">
        <f>SUM(P208,P215,P223,P229,P235)</f>
        <v>50773.26</v>
      </c>
      <c r="Q237" s="519">
        <v>113600</v>
      </c>
      <c r="R237" s="520">
        <f>SUM(R208,R215,R223,R229,R235)</f>
        <v>76181.299999999988</v>
      </c>
      <c r="S237" s="521">
        <f>S235+S229+S223+S215+S208</f>
        <v>120600</v>
      </c>
      <c r="T237" s="521">
        <f>T235+T229+T223+T215+T208</f>
        <v>120600</v>
      </c>
      <c r="U237" s="521"/>
      <c r="V237" s="521">
        <f t="shared" ref="V237:AE237" si="92">V235+V229+V223+V215+V208</f>
        <v>123660</v>
      </c>
      <c r="W237" s="522">
        <f t="shared" si="92"/>
        <v>-69906.84</v>
      </c>
      <c r="X237" s="523">
        <f t="shared" si="92"/>
        <v>125900</v>
      </c>
      <c r="Y237" s="524">
        <f t="shared" si="92"/>
        <v>-37994.950000000004</v>
      </c>
      <c r="Z237" s="523">
        <f t="shared" si="92"/>
        <v>137300</v>
      </c>
      <c r="AA237" s="523">
        <f t="shared" ref="AA237" si="93">AA235+AA229+AA223+AA215+AA208</f>
        <v>-118399.83</v>
      </c>
      <c r="AB237" s="523">
        <f t="shared" si="92"/>
        <v>130000</v>
      </c>
      <c r="AC237" s="880">
        <f t="shared" ref="AC237" si="94">AC235+AC229+AC223+AC215+AC208</f>
        <v>-121997.70999999999</v>
      </c>
      <c r="AD237" s="523">
        <f t="shared" si="92"/>
        <v>134000</v>
      </c>
      <c r="AE237" s="523">
        <f t="shared" si="92"/>
        <v>-123199.65</v>
      </c>
      <c r="AF237" s="523">
        <f>AF235+AF229+AF223+AF215+AF208</f>
        <v>133500</v>
      </c>
      <c r="AG237" s="523">
        <f t="shared" ref="AG237" si="95">AG235+AG229+AG223+AG215+AG208</f>
        <v>-31907.5</v>
      </c>
      <c r="AH237" s="523">
        <f>AH235+AH229+AH223+AH215+AH208</f>
        <v>133500</v>
      </c>
      <c r="AI237" s="523">
        <f>AI235+AI229+AI223+AI215+AI208</f>
        <v>133500</v>
      </c>
      <c r="AJ237" s="523">
        <f>AJ235+AJ229+AJ223+AJ215+AJ208</f>
        <v>133500</v>
      </c>
      <c r="AK237" s="708"/>
      <c r="AM237" s="106"/>
      <c r="AN237" s="106"/>
    </row>
    <row r="238" spans="1:49">
      <c r="A238" s="526">
        <v>5</v>
      </c>
      <c r="B238" s="679" t="s">
        <v>16</v>
      </c>
      <c r="C238" s="679">
        <v>4</v>
      </c>
      <c r="D238" s="679" t="s">
        <v>16</v>
      </c>
      <c r="E238" s="693" t="s">
        <v>70</v>
      </c>
      <c r="F238" s="679" t="s">
        <v>16</v>
      </c>
      <c r="G238" s="527" t="s">
        <v>70</v>
      </c>
      <c r="H238" s="55" t="s">
        <v>31</v>
      </c>
      <c r="I238" s="528"/>
      <c r="J238" s="528"/>
      <c r="K238" s="528"/>
      <c r="L238" s="528"/>
      <c r="M238" s="528"/>
      <c r="N238" s="528"/>
      <c r="O238" s="529"/>
      <c r="P238" s="529"/>
      <c r="Q238" s="529"/>
      <c r="R238" s="529"/>
      <c r="S238" s="530"/>
      <c r="T238" s="530"/>
      <c r="U238" s="530"/>
      <c r="V238" s="530"/>
      <c r="W238" s="530"/>
      <c r="X238" s="531"/>
      <c r="Y238" s="63"/>
      <c r="Z238" s="63"/>
      <c r="AA238" s="63"/>
      <c r="AB238" s="63"/>
      <c r="AC238" s="237"/>
      <c r="AD238" s="63"/>
      <c r="AE238" s="237"/>
      <c r="AF238" s="63"/>
      <c r="AG238" s="742"/>
      <c r="AH238" s="63"/>
      <c r="AI238" s="63"/>
      <c r="AJ238" s="63"/>
      <c r="AK238" s="697"/>
      <c r="AM238" s="106"/>
      <c r="AN238" s="106"/>
    </row>
    <row r="239" spans="1:49">
      <c r="A239" s="532">
        <v>5</v>
      </c>
      <c r="B239" s="67" t="s">
        <v>16</v>
      </c>
      <c r="C239" s="533">
        <v>4</v>
      </c>
      <c r="D239" s="67" t="s">
        <v>16</v>
      </c>
      <c r="E239" s="68" t="s">
        <v>81</v>
      </c>
      <c r="F239" s="67" t="s">
        <v>16</v>
      </c>
      <c r="G239" s="69" t="s">
        <v>70</v>
      </c>
      <c r="H239" s="238" t="s">
        <v>257</v>
      </c>
      <c r="I239" s="534"/>
      <c r="J239" s="535"/>
      <c r="K239" s="536"/>
      <c r="L239" s="535"/>
      <c r="M239" s="535"/>
      <c r="N239" s="535"/>
      <c r="O239" s="537"/>
      <c r="P239" s="535"/>
      <c r="Q239" s="535"/>
      <c r="R239" s="535"/>
      <c r="S239" s="538"/>
      <c r="T239" s="538"/>
      <c r="U239" s="538"/>
      <c r="V239" s="538"/>
      <c r="W239" s="538"/>
      <c r="X239" s="539"/>
      <c r="Y239" s="174"/>
      <c r="Z239" s="174"/>
      <c r="AA239" s="176"/>
      <c r="AB239" s="174"/>
      <c r="AC239" s="176"/>
      <c r="AD239" s="174"/>
      <c r="AE239" s="176"/>
      <c r="AF239" s="174"/>
      <c r="AG239" s="749"/>
      <c r="AH239" s="174"/>
      <c r="AI239" s="174"/>
      <c r="AJ239" s="174"/>
      <c r="AK239" s="710"/>
      <c r="AM239" s="106"/>
      <c r="AN239" s="106"/>
    </row>
    <row r="240" spans="1:49" ht="25.5">
      <c r="A240" s="540">
        <v>5</v>
      </c>
      <c r="B240" s="14" t="s">
        <v>16</v>
      </c>
      <c r="C240" s="689">
        <v>4</v>
      </c>
      <c r="D240" s="14" t="s">
        <v>16</v>
      </c>
      <c r="E240" s="688" t="s">
        <v>81</v>
      </c>
      <c r="F240" s="14" t="s">
        <v>16</v>
      </c>
      <c r="G240" s="541" t="s">
        <v>81</v>
      </c>
      <c r="H240" s="542" t="s">
        <v>257</v>
      </c>
      <c r="I240" s="264">
        <v>46740</v>
      </c>
      <c r="J240" s="84">
        <v>46739.62</v>
      </c>
      <c r="K240" s="83">
        <v>55000</v>
      </c>
      <c r="L240" s="299">
        <v>62621.16</v>
      </c>
      <c r="M240" s="83">
        <v>62621.16</v>
      </c>
      <c r="N240" s="84">
        <v>62521.16</v>
      </c>
      <c r="O240" s="85">
        <v>65000</v>
      </c>
      <c r="P240" s="299">
        <v>73589.37</v>
      </c>
      <c r="Q240" s="83">
        <v>73589.37</v>
      </c>
      <c r="R240" s="299">
        <v>73589.37</v>
      </c>
      <c r="S240" s="87">
        <v>75000</v>
      </c>
      <c r="T240" s="87">
        <v>75000</v>
      </c>
      <c r="U240" s="87">
        <v>-73225.179999999993</v>
      </c>
      <c r="V240" s="87">
        <v>73225.179999999993</v>
      </c>
      <c r="W240" s="88">
        <v>-73225.179999999993</v>
      </c>
      <c r="X240" s="89">
        <v>75000</v>
      </c>
      <c r="Y240" s="90">
        <v>-49778.21</v>
      </c>
      <c r="Z240" s="89">
        <v>75000</v>
      </c>
      <c r="AA240" s="543">
        <v>-61442.49</v>
      </c>
      <c r="AB240" s="89">
        <v>80000</v>
      </c>
      <c r="AC240" s="543">
        <v>-61442.49</v>
      </c>
      <c r="AD240" s="89">
        <v>70000</v>
      </c>
      <c r="AE240" s="543">
        <v>-67834.42</v>
      </c>
      <c r="AF240" s="89">
        <v>85000</v>
      </c>
      <c r="AG240" s="771">
        <v>-0.95</v>
      </c>
      <c r="AH240" s="89">
        <v>85000</v>
      </c>
      <c r="AI240" s="89">
        <v>85000</v>
      </c>
      <c r="AJ240" s="89">
        <v>85000</v>
      </c>
      <c r="AK240" s="707" t="s">
        <v>427</v>
      </c>
      <c r="AM240" s="106"/>
      <c r="AN240" s="106"/>
    </row>
    <row r="241" spans="1:1026">
      <c r="A241" s="540">
        <v>5</v>
      </c>
      <c r="B241" s="14" t="s">
        <v>16</v>
      </c>
      <c r="C241" s="689">
        <v>4</v>
      </c>
      <c r="D241" s="14" t="s">
        <v>16</v>
      </c>
      <c r="E241" s="688" t="s">
        <v>81</v>
      </c>
      <c r="F241" s="14" t="s">
        <v>16</v>
      </c>
      <c r="G241" s="541" t="s">
        <v>84</v>
      </c>
      <c r="H241" s="515" t="s">
        <v>258</v>
      </c>
      <c r="I241" s="122">
        <v>4000</v>
      </c>
      <c r="J241" s="95">
        <v>2400</v>
      </c>
      <c r="K241" s="94">
        <v>4000</v>
      </c>
      <c r="L241" s="123">
        <v>5375</v>
      </c>
      <c r="M241" s="94">
        <v>5375</v>
      </c>
      <c r="N241" s="95">
        <v>5375</v>
      </c>
      <c r="O241" s="96">
        <v>5000</v>
      </c>
      <c r="P241" s="123">
        <v>3992.78</v>
      </c>
      <c r="Q241" s="94">
        <v>5000</v>
      </c>
      <c r="R241" s="123">
        <v>3992.78</v>
      </c>
      <c r="S241" s="99">
        <v>5000</v>
      </c>
      <c r="T241" s="99">
        <v>5000</v>
      </c>
      <c r="U241" s="99">
        <v>-3665</v>
      </c>
      <c r="V241" s="99">
        <v>3665</v>
      </c>
      <c r="W241" s="100">
        <v>-3665</v>
      </c>
      <c r="X241" s="101">
        <v>5000</v>
      </c>
      <c r="Y241" s="102">
        <v>-1047.5</v>
      </c>
      <c r="Z241" s="101">
        <v>5000</v>
      </c>
      <c r="AA241" s="127">
        <v>-7554.2</v>
      </c>
      <c r="AB241" s="101">
        <v>5000</v>
      </c>
      <c r="AC241" s="127">
        <v>-7554.2</v>
      </c>
      <c r="AD241" s="101">
        <v>5000</v>
      </c>
      <c r="AE241" s="127">
        <v>-6746.15</v>
      </c>
      <c r="AF241" s="101">
        <v>0</v>
      </c>
      <c r="AG241" s="746"/>
      <c r="AH241" s="101">
        <v>0</v>
      </c>
      <c r="AI241" s="101">
        <v>0</v>
      </c>
      <c r="AJ241" s="101">
        <v>0</v>
      </c>
      <c r="AK241" s="700"/>
      <c r="AM241" s="106"/>
      <c r="AN241" s="106"/>
    </row>
    <row r="242" spans="1:1026">
      <c r="A242" s="540">
        <v>5</v>
      </c>
      <c r="B242" s="14" t="s">
        <v>16</v>
      </c>
      <c r="C242" s="689">
        <v>4</v>
      </c>
      <c r="D242" s="14" t="s">
        <v>16</v>
      </c>
      <c r="E242" s="688" t="s">
        <v>81</v>
      </c>
      <c r="F242" s="14" t="s">
        <v>16</v>
      </c>
      <c r="G242" s="541" t="s">
        <v>86</v>
      </c>
      <c r="H242" s="515" t="s">
        <v>259</v>
      </c>
      <c r="I242" s="122">
        <v>4716</v>
      </c>
      <c r="J242" s="95">
        <v>4715.1499999999996</v>
      </c>
      <c r="K242" s="94">
        <v>3000</v>
      </c>
      <c r="L242" s="123">
        <v>4304.37</v>
      </c>
      <c r="M242" s="94">
        <v>4304.37</v>
      </c>
      <c r="N242" s="95">
        <v>4304.37</v>
      </c>
      <c r="O242" s="96">
        <v>4000</v>
      </c>
      <c r="P242" s="123">
        <v>2241.4</v>
      </c>
      <c r="Q242" s="94">
        <v>2241.4</v>
      </c>
      <c r="R242" s="123">
        <v>2766.4</v>
      </c>
      <c r="S242" s="99">
        <v>2500</v>
      </c>
      <c r="T242" s="99">
        <v>2500</v>
      </c>
      <c r="U242" s="99">
        <v>-2815.9</v>
      </c>
      <c r="V242" s="99">
        <v>2500</v>
      </c>
      <c r="W242" s="100">
        <v>-2815.9</v>
      </c>
      <c r="X242" s="101">
        <v>2500</v>
      </c>
      <c r="Y242" s="102">
        <v>-76.45</v>
      </c>
      <c r="Z242" s="101">
        <v>2500</v>
      </c>
      <c r="AA242" s="127">
        <v>-2825.69</v>
      </c>
      <c r="AB242" s="101">
        <v>2500</v>
      </c>
      <c r="AC242" s="127">
        <v>-2825.69</v>
      </c>
      <c r="AD242" s="101">
        <v>2500</v>
      </c>
      <c r="AE242" s="127">
        <v>-3970.05</v>
      </c>
      <c r="AF242" s="101">
        <v>0</v>
      </c>
      <c r="AG242" s="746"/>
      <c r="AH242" s="101">
        <v>0</v>
      </c>
      <c r="AI242" s="101">
        <v>0</v>
      </c>
      <c r="AJ242" s="101">
        <v>0</v>
      </c>
      <c r="AK242" s="700"/>
      <c r="AM242" s="106"/>
      <c r="AN242" s="106"/>
    </row>
    <row r="243" spans="1:1026">
      <c r="A243" s="540">
        <v>5</v>
      </c>
      <c r="B243" s="14" t="s">
        <v>16</v>
      </c>
      <c r="C243" s="689">
        <v>4</v>
      </c>
      <c r="D243" s="14" t="s">
        <v>16</v>
      </c>
      <c r="E243" s="688" t="s">
        <v>81</v>
      </c>
      <c r="F243" s="14" t="s">
        <v>16</v>
      </c>
      <c r="G243" s="541" t="s">
        <v>73</v>
      </c>
      <c r="H243" s="515" t="s">
        <v>260</v>
      </c>
      <c r="I243" s="122">
        <v>10713</v>
      </c>
      <c r="J243" s="95">
        <v>10712.18</v>
      </c>
      <c r="K243" s="94">
        <v>2000</v>
      </c>
      <c r="L243" s="123">
        <v>344.68</v>
      </c>
      <c r="M243" s="94">
        <v>344.68</v>
      </c>
      <c r="N243" s="95">
        <v>344.68</v>
      </c>
      <c r="O243" s="96">
        <v>2000</v>
      </c>
      <c r="P243" s="123">
        <v>1694.83</v>
      </c>
      <c r="Q243" s="94">
        <v>1694.83</v>
      </c>
      <c r="R243" s="123">
        <v>1694.83</v>
      </c>
      <c r="S243" s="99">
        <v>1000</v>
      </c>
      <c r="T243" s="99">
        <v>1000</v>
      </c>
      <c r="U243" s="99">
        <v>-565.41999999999996</v>
      </c>
      <c r="V243" s="99">
        <v>565.41999999999996</v>
      </c>
      <c r="W243" s="100">
        <v>-565.41999999999996</v>
      </c>
      <c r="X243" s="101">
        <v>1000</v>
      </c>
      <c r="Y243" s="102">
        <v>-191.58</v>
      </c>
      <c r="Z243" s="101">
        <v>1000</v>
      </c>
      <c r="AA243" s="127">
        <v>-960.21</v>
      </c>
      <c r="AB243" s="101">
        <v>3000</v>
      </c>
      <c r="AC243" s="127">
        <v>-960.21</v>
      </c>
      <c r="AD243" s="101">
        <v>3000</v>
      </c>
      <c r="AE243" s="127">
        <v>-8363.81</v>
      </c>
      <c r="AF243" s="101">
        <v>0</v>
      </c>
      <c r="AG243" s="746"/>
      <c r="AH243" s="101">
        <v>0</v>
      </c>
      <c r="AI243" s="101">
        <v>0</v>
      </c>
      <c r="AJ243" s="101">
        <v>0</v>
      </c>
      <c r="AK243" s="706"/>
      <c r="AM243" s="106"/>
      <c r="AN243" s="106"/>
    </row>
    <row r="244" spans="1:1026">
      <c r="A244" s="144"/>
      <c r="B244" s="680"/>
      <c r="C244" s="680"/>
      <c r="D244" s="680"/>
      <c r="E244" s="676"/>
      <c r="F244" s="680"/>
      <c r="G244" s="145"/>
      <c r="H244" s="146" t="s">
        <v>261</v>
      </c>
      <c r="I244" s="495">
        <f t="shared" ref="I244:P244" si="96">SUM(I240:I243)</f>
        <v>66169</v>
      </c>
      <c r="J244" s="496">
        <f t="shared" si="96"/>
        <v>64566.950000000004</v>
      </c>
      <c r="K244" s="495">
        <f t="shared" si="96"/>
        <v>64000</v>
      </c>
      <c r="L244" s="496">
        <f t="shared" si="96"/>
        <v>72645.209999999992</v>
      </c>
      <c r="M244" s="495">
        <f t="shared" si="96"/>
        <v>72645.209999999992</v>
      </c>
      <c r="N244" s="496">
        <f t="shared" si="96"/>
        <v>72545.209999999992</v>
      </c>
      <c r="O244" s="497">
        <f t="shared" si="96"/>
        <v>76000</v>
      </c>
      <c r="P244" s="496">
        <f t="shared" si="96"/>
        <v>81518.37999999999</v>
      </c>
      <c r="Q244" s="495">
        <v>82525.600000000006</v>
      </c>
      <c r="R244" s="496">
        <f>SUM(R240:R243)</f>
        <v>82043.37999999999</v>
      </c>
      <c r="S244" s="499">
        <f>SUM(S240:S243)</f>
        <v>83500</v>
      </c>
      <c r="T244" s="499">
        <f>SUM(T240:T243)</f>
        <v>83500</v>
      </c>
      <c r="U244" s="499"/>
      <c r="V244" s="499">
        <f>SUM(V240:V243)</f>
        <v>79955.599999999991</v>
      </c>
      <c r="W244" s="500">
        <f>SUM(W240:W243)</f>
        <v>-80271.499999999985</v>
      </c>
      <c r="X244" s="501">
        <f>SUM(X240:X243)</f>
        <v>83500</v>
      </c>
      <c r="Y244" s="502">
        <v>-51093.74</v>
      </c>
      <c r="Z244" s="501">
        <f>SUM(Z240:Z243)</f>
        <v>83500</v>
      </c>
      <c r="AA244" s="501">
        <f>SUM(AA240:AA243)</f>
        <v>-72782.590000000011</v>
      </c>
      <c r="AB244" s="501">
        <f>SUM(AB240:AB243)</f>
        <v>90500</v>
      </c>
      <c r="AC244" s="878">
        <v>-61118.31</v>
      </c>
      <c r="AD244" s="501">
        <f>SUM(AD240:AD243)</f>
        <v>80500</v>
      </c>
      <c r="AE244" s="501">
        <f t="shared" ref="AE244" si="97">SUM(AE240:AE243)</f>
        <v>-86914.43</v>
      </c>
      <c r="AF244" s="501">
        <f>SUM(AF240:AF243)</f>
        <v>85000</v>
      </c>
      <c r="AG244" s="501">
        <f t="shared" ref="AG244" si="98">SUM(AG240:AG243)</f>
        <v>-0.95</v>
      </c>
      <c r="AH244" s="501">
        <f>SUM(AH240:AH243)</f>
        <v>85000</v>
      </c>
      <c r="AI244" s="501">
        <f>SUM(AI240:AI243)</f>
        <v>85000</v>
      </c>
      <c r="AJ244" s="501">
        <f>SUM(AJ240:AJ243)</f>
        <v>85000</v>
      </c>
      <c r="AK244" s="702"/>
      <c r="AM244" s="106"/>
      <c r="AN244" s="106"/>
    </row>
    <row r="245" spans="1:1026">
      <c r="A245" s="544"/>
      <c r="B245" s="14"/>
      <c r="C245" s="691"/>
      <c r="D245" s="14"/>
      <c r="E245" s="677"/>
      <c r="F245" s="14"/>
      <c r="G245" s="545"/>
      <c r="H245" s="515"/>
      <c r="I245" s="122"/>
      <c r="J245" s="95"/>
      <c r="K245" s="94"/>
      <c r="L245" s="95"/>
      <c r="M245" s="94"/>
      <c r="N245" s="95"/>
      <c r="O245" s="96"/>
      <c r="P245" s="97"/>
      <c r="Q245" s="96"/>
      <c r="R245" s="97"/>
      <c r="S245" s="99"/>
      <c r="T245" s="99"/>
      <c r="U245" s="99"/>
      <c r="V245" s="99"/>
      <c r="W245" s="100"/>
      <c r="X245" s="101"/>
      <c r="Y245" s="102"/>
      <c r="Z245" s="103"/>
      <c r="AA245" s="104"/>
      <c r="AB245" s="103"/>
      <c r="AC245" s="104"/>
      <c r="AD245" s="103"/>
      <c r="AE245" s="104"/>
      <c r="AF245" s="103"/>
      <c r="AG245" s="666"/>
      <c r="AH245" s="103"/>
      <c r="AI245" s="103"/>
      <c r="AJ245" s="103"/>
      <c r="AK245" s="706"/>
      <c r="AM245" s="106"/>
      <c r="AN245" s="106"/>
    </row>
    <row r="246" spans="1:1026">
      <c r="A246" s="66">
        <v>5</v>
      </c>
      <c r="B246" s="67" t="s">
        <v>16</v>
      </c>
      <c r="C246" s="67">
        <v>4</v>
      </c>
      <c r="D246" s="67" t="s">
        <v>16</v>
      </c>
      <c r="E246" s="68" t="s">
        <v>84</v>
      </c>
      <c r="F246" s="67" t="s">
        <v>16</v>
      </c>
      <c r="G246" s="69" t="s">
        <v>70</v>
      </c>
      <c r="H246" s="238" t="s">
        <v>262</v>
      </c>
      <c r="I246" s="534"/>
      <c r="J246" s="535"/>
      <c r="K246" s="536"/>
      <c r="L246" s="535"/>
      <c r="M246" s="536"/>
      <c r="N246" s="535"/>
      <c r="O246" s="537"/>
      <c r="P246" s="535"/>
      <c r="Q246" s="537"/>
      <c r="R246" s="535"/>
      <c r="S246" s="546"/>
      <c r="T246" s="546"/>
      <c r="U246" s="546"/>
      <c r="V246" s="546"/>
      <c r="W246" s="538"/>
      <c r="X246" s="547"/>
      <c r="Y246" s="174"/>
      <c r="Z246" s="175"/>
      <c r="AA246" s="176"/>
      <c r="AB246" s="175"/>
      <c r="AC246" s="176"/>
      <c r="AD246" s="175"/>
      <c r="AE246" s="176"/>
      <c r="AF246" s="175"/>
      <c r="AG246" s="749"/>
      <c r="AH246" s="175"/>
      <c r="AI246" s="175"/>
      <c r="AJ246" s="175"/>
      <c r="AK246" s="710"/>
      <c r="AM246" s="106"/>
      <c r="AN246" s="106"/>
    </row>
    <row r="247" spans="1:1026">
      <c r="A247" s="80">
        <v>5</v>
      </c>
      <c r="B247" s="14" t="s">
        <v>16</v>
      </c>
      <c r="C247" s="14">
        <v>4</v>
      </c>
      <c r="D247" s="14" t="s">
        <v>16</v>
      </c>
      <c r="E247" s="15" t="s">
        <v>84</v>
      </c>
      <c r="F247" s="14" t="s">
        <v>16</v>
      </c>
      <c r="G247" s="81" t="s">
        <v>81</v>
      </c>
      <c r="H247" s="250" t="s">
        <v>108</v>
      </c>
      <c r="I247" s="463">
        <v>10000</v>
      </c>
      <c r="J247" s="413">
        <v>8551.11</v>
      </c>
      <c r="K247" s="412">
        <v>1500</v>
      </c>
      <c r="L247" s="413">
        <v>236.75</v>
      </c>
      <c r="M247" s="412">
        <v>1500</v>
      </c>
      <c r="N247" s="413">
        <v>713.5</v>
      </c>
      <c r="O247" s="464">
        <v>2500</v>
      </c>
      <c r="P247" s="413">
        <v>1168.19</v>
      </c>
      <c r="Q247" s="464">
        <v>2500</v>
      </c>
      <c r="R247" s="413">
        <v>1240.9000000000001</v>
      </c>
      <c r="S247" s="465">
        <v>2500</v>
      </c>
      <c r="T247" s="465">
        <v>2500</v>
      </c>
      <c r="U247" s="465">
        <v>-1147.1099999999999</v>
      </c>
      <c r="V247" s="465">
        <v>2500</v>
      </c>
      <c r="W247" s="466">
        <v>-1243.3599999999999</v>
      </c>
      <c r="X247" s="467">
        <v>2500</v>
      </c>
      <c r="Y247" s="218">
        <v>-451</v>
      </c>
      <c r="Z247" s="467">
        <v>2500</v>
      </c>
      <c r="AA247" s="548">
        <v>-1970.86</v>
      </c>
      <c r="AB247" s="467">
        <v>2500</v>
      </c>
      <c r="AC247" s="548">
        <v>-1970.86</v>
      </c>
      <c r="AD247" s="467">
        <v>2500</v>
      </c>
      <c r="AE247" s="548">
        <v>-1526.8</v>
      </c>
      <c r="AF247" s="467">
        <v>2500</v>
      </c>
      <c r="AG247" s="772">
        <v>-379.85</v>
      </c>
      <c r="AH247" s="862">
        <v>2500</v>
      </c>
      <c r="AI247" s="862">
        <v>2500</v>
      </c>
      <c r="AJ247" s="467">
        <v>2500</v>
      </c>
      <c r="AK247" s="707"/>
      <c r="AM247" s="106"/>
      <c r="AN247" s="106"/>
    </row>
    <row r="248" spans="1:1026" s="902" customFormat="1">
      <c r="A248" s="882">
        <v>5</v>
      </c>
      <c r="B248" s="883" t="s">
        <v>16</v>
      </c>
      <c r="C248" s="883">
        <v>4</v>
      </c>
      <c r="D248" s="883" t="s">
        <v>16</v>
      </c>
      <c r="E248" s="884" t="s">
        <v>84</v>
      </c>
      <c r="F248" s="883" t="s">
        <v>16</v>
      </c>
      <c r="G248" s="885" t="s">
        <v>84</v>
      </c>
      <c r="H248" s="886" t="s">
        <v>263</v>
      </c>
      <c r="I248" s="887"/>
      <c r="J248" s="888"/>
      <c r="K248" s="889">
        <v>8000</v>
      </c>
      <c r="L248" s="888">
        <v>120</v>
      </c>
      <c r="M248" s="889">
        <v>2000</v>
      </c>
      <c r="N248" s="888">
        <v>527.54999999999995</v>
      </c>
      <c r="O248" s="890">
        <v>2000</v>
      </c>
      <c r="P248" s="888">
        <v>0</v>
      </c>
      <c r="Q248" s="890">
        <v>2000</v>
      </c>
      <c r="R248" s="888">
        <v>0</v>
      </c>
      <c r="S248" s="891">
        <v>1000</v>
      </c>
      <c r="T248" s="891">
        <v>1000</v>
      </c>
      <c r="U248" s="891">
        <v>0</v>
      </c>
      <c r="V248" s="891">
        <v>1000</v>
      </c>
      <c r="W248" s="903">
        <v>0</v>
      </c>
      <c r="X248" s="904">
        <v>500</v>
      </c>
      <c r="Y248" s="895">
        <v>0</v>
      </c>
      <c r="Z248" s="904">
        <v>500</v>
      </c>
      <c r="AA248" s="905">
        <v>-379.31</v>
      </c>
      <c r="AB248" s="904">
        <v>500</v>
      </c>
      <c r="AC248" s="905">
        <v>-379.31</v>
      </c>
      <c r="AD248" s="904">
        <v>1000</v>
      </c>
      <c r="AE248" s="905">
        <v>-2417</v>
      </c>
      <c r="AF248" s="904">
        <v>1500</v>
      </c>
      <c r="AG248" s="906">
        <v>-350</v>
      </c>
      <c r="AH248" s="904">
        <v>1500</v>
      </c>
      <c r="AI248" s="904">
        <f>1500+1000</f>
        <v>2500</v>
      </c>
      <c r="AJ248" s="904">
        <v>2500</v>
      </c>
      <c r="AK248" s="907" t="s">
        <v>523</v>
      </c>
      <c r="AL248" s="899"/>
      <c r="AM248" s="900"/>
      <c r="AN248" s="900"/>
      <c r="AO248" s="901"/>
      <c r="AP248" s="901"/>
      <c r="AQ248" s="901"/>
      <c r="AR248" s="901"/>
      <c r="AS248" s="901"/>
      <c r="AT248" s="901"/>
      <c r="AU248" s="901"/>
      <c r="AV248" s="901"/>
      <c r="AW248" s="901"/>
      <c r="AX248" s="901"/>
      <c r="AY248" s="901"/>
      <c r="AZ248" s="901"/>
      <c r="BA248" s="901"/>
      <c r="BB248" s="901"/>
      <c r="BC248" s="901"/>
      <c r="BD248" s="901"/>
      <c r="BE248" s="901"/>
      <c r="BF248" s="901"/>
      <c r="BG248" s="901"/>
      <c r="BH248" s="901"/>
      <c r="BI248" s="901"/>
      <c r="BJ248" s="901"/>
      <c r="BK248" s="901"/>
      <c r="BL248" s="901"/>
      <c r="BM248" s="901"/>
      <c r="BN248" s="901"/>
      <c r="BO248" s="901"/>
      <c r="BP248" s="901"/>
      <c r="BQ248" s="901"/>
      <c r="BR248" s="901"/>
      <c r="BS248" s="901"/>
      <c r="BT248" s="901"/>
      <c r="BU248" s="901"/>
      <c r="BV248" s="901"/>
      <c r="BW248" s="901"/>
      <c r="BX248" s="901"/>
      <c r="BY248" s="901"/>
      <c r="BZ248" s="901"/>
      <c r="CA248" s="901"/>
      <c r="CB248" s="901"/>
      <c r="CC248" s="901"/>
      <c r="CD248" s="901"/>
      <c r="CE248" s="901"/>
      <c r="CF248" s="901"/>
      <c r="CG248" s="901"/>
      <c r="CH248" s="901"/>
      <c r="CI248" s="901"/>
      <c r="CJ248" s="901"/>
      <c r="CK248" s="901"/>
      <c r="CL248" s="901"/>
      <c r="CM248" s="901"/>
      <c r="CN248" s="901"/>
      <c r="CO248" s="901"/>
      <c r="CP248" s="901"/>
      <c r="CQ248" s="901"/>
      <c r="CR248" s="901"/>
      <c r="CS248" s="901"/>
      <c r="CT248" s="901"/>
      <c r="CU248" s="901"/>
      <c r="CV248" s="901"/>
      <c r="CW248" s="901"/>
      <c r="CX248" s="901"/>
      <c r="CY248" s="901"/>
      <c r="CZ248" s="901"/>
      <c r="DA248" s="901"/>
      <c r="DB248" s="901"/>
      <c r="DC248" s="901"/>
      <c r="DD248" s="901"/>
      <c r="DE248" s="901"/>
      <c r="DF248" s="901"/>
      <c r="DG248" s="901"/>
      <c r="DH248" s="901"/>
      <c r="DI248" s="901"/>
      <c r="DJ248" s="901"/>
      <c r="DK248" s="901"/>
      <c r="DL248" s="901"/>
      <c r="DM248" s="901"/>
      <c r="DN248" s="901"/>
      <c r="DO248" s="901"/>
      <c r="DP248" s="901"/>
      <c r="DQ248" s="901"/>
      <c r="DR248" s="901"/>
      <c r="DS248" s="901"/>
      <c r="DT248" s="901"/>
      <c r="DU248" s="901"/>
      <c r="DV248" s="901"/>
      <c r="DW248" s="901"/>
      <c r="DX248" s="901"/>
      <c r="DY248" s="901"/>
      <c r="DZ248" s="901"/>
      <c r="EA248" s="901"/>
      <c r="EB248" s="901"/>
      <c r="EC248" s="901"/>
      <c r="ED248" s="901"/>
      <c r="EE248" s="901"/>
      <c r="EF248" s="901"/>
      <c r="EG248" s="901"/>
      <c r="EH248" s="901"/>
      <c r="EI248" s="901"/>
      <c r="EJ248" s="901"/>
      <c r="EK248" s="901"/>
      <c r="EL248" s="901"/>
      <c r="EM248" s="901"/>
      <c r="EN248" s="901"/>
      <c r="EO248" s="901"/>
      <c r="EP248" s="901"/>
      <c r="EQ248" s="901"/>
      <c r="ER248" s="901"/>
      <c r="ES248" s="901"/>
      <c r="ET248" s="901"/>
      <c r="EU248" s="901"/>
      <c r="EV248" s="901"/>
      <c r="EW248" s="901"/>
      <c r="EX248" s="901"/>
      <c r="EY248" s="901"/>
      <c r="EZ248" s="901"/>
      <c r="FA248" s="901"/>
      <c r="FB248" s="901"/>
      <c r="FC248" s="901"/>
      <c r="FD248" s="901"/>
      <c r="FE248" s="901"/>
      <c r="FF248" s="901"/>
      <c r="FG248" s="901"/>
      <c r="FH248" s="901"/>
      <c r="FI248" s="901"/>
      <c r="FJ248" s="901"/>
      <c r="FK248" s="901"/>
      <c r="FL248" s="901"/>
      <c r="FM248" s="901"/>
      <c r="FN248" s="901"/>
      <c r="FO248" s="901"/>
      <c r="FP248" s="901"/>
      <c r="FQ248" s="901"/>
      <c r="FR248" s="901"/>
      <c r="FS248" s="901"/>
      <c r="FT248" s="901"/>
      <c r="FU248" s="901"/>
      <c r="FV248" s="901"/>
      <c r="FW248" s="901"/>
      <c r="FX248" s="901"/>
      <c r="FY248" s="901"/>
      <c r="FZ248" s="901"/>
      <c r="GA248" s="901"/>
      <c r="GB248" s="901"/>
      <c r="GC248" s="901"/>
      <c r="GD248" s="901"/>
      <c r="GE248" s="901"/>
      <c r="GF248" s="901"/>
      <c r="GG248" s="901"/>
      <c r="GH248" s="901"/>
      <c r="GI248" s="901"/>
      <c r="GJ248" s="901"/>
      <c r="GK248" s="901"/>
      <c r="GL248" s="901"/>
      <c r="GM248" s="901"/>
      <c r="GN248" s="901"/>
      <c r="GO248" s="901"/>
      <c r="GP248" s="901"/>
      <c r="GQ248" s="901"/>
      <c r="GR248" s="901"/>
      <c r="GS248" s="901"/>
      <c r="GT248" s="901"/>
      <c r="GU248" s="901"/>
      <c r="GV248" s="901"/>
      <c r="GW248" s="901"/>
      <c r="GX248" s="901"/>
      <c r="GY248" s="901"/>
      <c r="GZ248" s="901"/>
      <c r="HA248" s="901"/>
      <c r="HB248" s="901"/>
      <c r="HC248" s="901"/>
      <c r="HD248" s="901"/>
      <c r="HE248" s="901"/>
      <c r="HF248" s="901"/>
      <c r="HG248" s="901"/>
      <c r="HH248" s="901"/>
      <c r="HI248" s="901"/>
      <c r="HJ248" s="901"/>
      <c r="HK248" s="901"/>
      <c r="HL248" s="901"/>
      <c r="HM248" s="901"/>
      <c r="HN248" s="901"/>
      <c r="HO248" s="901"/>
      <c r="HP248" s="901"/>
      <c r="HQ248" s="901"/>
      <c r="HR248" s="901"/>
      <c r="HS248" s="901"/>
      <c r="HT248" s="901"/>
      <c r="HU248" s="901"/>
      <c r="HV248" s="901"/>
      <c r="HW248" s="901"/>
      <c r="HX248" s="901"/>
      <c r="HY248" s="901"/>
      <c r="HZ248" s="901"/>
      <c r="IA248" s="901"/>
      <c r="IB248" s="901"/>
      <c r="IC248" s="901"/>
      <c r="ID248" s="901"/>
      <c r="IE248" s="901"/>
      <c r="IF248" s="901"/>
      <c r="IG248" s="901"/>
      <c r="IH248" s="901"/>
      <c r="II248" s="901"/>
      <c r="IJ248" s="901"/>
      <c r="IK248" s="901"/>
      <c r="IL248" s="901"/>
      <c r="IM248" s="901"/>
      <c r="IN248" s="901"/>
      <c r="IO248" s="901"/>
      <c r="IP248" s="901"/>
      <c r="IQ248" s="901"/>
      <c r="IR248" s="901"/>
      <c r="IS248" s="901"/>
      <c r="IT248" s="901"/>
      <c r="IU248" s="901"/>
      <c r="IV248" s="901"/>
      <c r="IW248" s="901"/>
      <c r="IX248" s="901"/>
      <c r="IY248" s="901"/>
      <c r="IZ248" s="901"/>
      <c r="JA248" s="901"/>
      <c r="JB248" s="901"/>
      <c r="JC248" s="901"/>
      <c r="JD248" s="901"/>
      <c r="JE248" s="901"/>
      <c r="JF248" s="901"/>
      <c r="JG248" s="901"/>
      <c r="JH248" s="901"/>
      <c r="JI248" s="901"/>
      <c r="JJ248" s="901"/>
      <c r="JK248" s="901"/>
      <c r="JL248" s="901"/>
      <c r="JM248" s="901"/>
      <c r="JN248" s="901"/>
      <c r="JO248" s="901"/>
      <c r="JP248" s="901"/>
      <c r="JQ248" s="901"/>
      <c r="JR248" s="901"/>
      <c r="JS248" s="901"/>
      <c r="JT248" s="901"/>
      <c r="JU248" s="901"/>
      <c r="JV248" s="901"/>
      <c r="JW248" s="901"/>
      <c r="JX248" s="901"/>
      <c r="JY248" s="901"/>
      <c r="JZ248" s="901"/>
      <c r="KA248" s="901"/>
      <c r="KB248" s="901"/>
      <c r="KC248" s="901"/>
      <c r="KD248" s="901"/>
      <c r="KE248" s="901"/>
      <c r="KF248" s="901"/>
      <c r="KG248" s="901"/>
      <c r="KH248" s="901"/>
      <c r="KI248" s="901"/>
      <c r="KJ248" s="901"/>
      <c r="KK248" s="901"/>
      <c r="KL248" s="901"/>
      <c r="KM248" s="901"/>
      <c r="KN248" s="901"/>
      <c r="KO248" s="901"/>
      <c r="KP248" s="901"/>
      <c r="KQ248" s="901"/>
      <c r="KR248" s="901"/>
      <c r="KS248" s="901"/>
      <c r="KT248" s="901"/>
      <c r="KU248" s="901"/>
      <c r="KV248" s="901"/>
      <c r="KW248" s="901"/>
      <c r="KX248" s="901"/>
      <c r="KY248" s="901"/>
      <c r="KZ248" s="901"/>
      <c r="LA248" s="901"/>
      <c r="LB248" s="901"/>
      <c r="LC248" s="901"/>
      <c r="LD248" s="901"/>
      <c r="LE248" s="901"/>
      <c r="LF248" s="901"/>
      <c r="LG248" s="901"/>
      <c r="LH248" s="901"/>
      <c r="LI248" s="901"/>
      <c r="LJ248" s="901"/>
      <c r="LK248" s="901"/>
      <c r="LL248" s="901"/>
      <c r="LM248" s="901"/>
      <c r="LN248" s="901"/>
      <c r="LO248" s="901"/>
      <c r="LP248" s="901"/>
      <c r="LQ248" s="901"/>
      <c r="LR248" s="901"/>
      <c r="LS248" s="901"/>
      <c r="LT248" s="901"/>
      <c r="LU248" s="901"/>
      <c r="LV248" s="901"/>
      <c r="LW248" s="901"/>
      <c r="LX248" s="901"/>
      <c r="LY248" s="901"/>
      <c r="LZ248" s="901"/>
      <c r="MA248" s="901"/>
      <c r="MB248" s="901"/>
      <c r="MC248" s="901"/>
      <c r="MD248" s="901"/>
      <c r="ME248" s="901"/>
      <c r="MF248" s="901"/>
      <c r="MG248" s="901"/>
      <c r="MH248" s="901"/>
      <c r="MI248" s="901"/>
      <c r="MJ248" s="901"/>
      <c r="MK248" s="901"/>
      <c r="ML248" s="901"/>
      <c r="MM248" s="901"/>
      <c r="MN248" s="901"/>
      <c r="MO248" s="901"/>
      <c r="MP248" s="901"/>
      <c r="MQ248" s="901"/>
      <c r="MR248" s="901"/>
      <c r="MS248" s="901"/>
      <c r="MT248" s="901"/>
      <c r="MU248" s="901"/>
      <c r="MV248" s="901"/>
      <c r="MW248" s="901"/>
      <c r="MX248" s="901"/>
      <c r="MY248" s="901"/>
      <c r="MZ248" s="901"/>
      <c r="NA248" s="901"/>
      <c r="NB248" s="901"/>
      <c r="NC248" s="901"/>
      <c r="ND248" s="901"/>
      <c r="NE248" s="901"/>
      <c r="NF248" s="901"/>
      <c r="NG248" s="901"/>
      <c r="NH248" s="901"/>
      <c r="NI248" s="901"/>
      <c r="NJ248" s="901"/>
      <c r="NK248" s="901"/>
      <c r="NL248" s="901"/>
      <c r="NM248" s="901"/>
      <c r="NN248" s="901"/>
      <c r="NO248" s="901"/>
      <c r="NP248" s="901"/>
      <c r="NQ248" s="901"/>
      <c r="NR248" s="901"/>
      <c r="NS248" s="901"/>
      <c r="NT248" s="901"/>
      <c r="NU248" s="901"/>
      <c r="NV248" s="901"/>
      <c r="NW248" s="901"/>
      <c r="NX248" s="901"/>
      <c r="NY248" s="901"/>
      <c r="NZ248" s="901"/>
      <c r="OA248" s="901"/>
      <c r="OB248" s="901"/>
      <c r="OC248" s="901"/>
      <c r="OD248" s="901"/>
      <c r="OE248" s="901"/>
      <c r="OF248" s="901"/>
      <c r="OG248" s="901"/>
      <c r="OH248" s="901"/>
      <c r="OI248" s="901"/>
      <c r="OJ248" s="901"/>
      <c r="OK248" s="901"/>
      <c r="OL248" s="901"/>
      <c r="OM248" s="901"/>
      <c r="ON248" s="901"/>
      <c r="OO248" s="901"/>
      <c r="OP248" s="901"/>
      <c r="OQ248" s="901"/>
      <c r="OR248" s="901"/>
      <c r="OS248" s="901"/>
      <c r="OT248" s="901"/>
      <c r="OU248" s="901"/>
      <c r="OV248" s="901"/>
      <c r="OW248" s="901"/>
      <c r="OX248" s="901"/>
      <c r="OY248" s="901"/>
      <c r="OZ248" s="901"/>
      <c r="PA248" s="901"/>
      <c r="PB248" s="901"/>
      <c r="PC248" s="901"/>
      <c r="PD248" s="901"/>
      <c r="PE248" s="901"/>
      <c r="PF248" s="901"/>
      <c r="PG248" s="901"/>
      <c r="PH248" s="901"/>
      <c r="PI248" s="901"/>
      <c r="PJ248" s="901"/>
      <c r="PK248" s="901"/>
      <c r="PL248" s="901"/>
      <c r="PM248" s="901"/>
      <c r="PN248" s="901"/>
      <c r="PO248" s="901"/>
      <c r="PP248" s="901"/>
      <c r="PQ248" s="901"/>
      <c r="PR248" s="901"/>
      <c r="PS248" s="901"/>
      <c r="PT248" s="901"/>
      <c r="PU248" s="901"/>
      <c r="PV248" s="901"/>
      <c r="PW248" s="901"/>
      <c r="PX248" s="901"/>
      <c r="PY248" s="901"/>
      <c r="PZ248" s="901"/>
      <c r="QA248" s="901"/>
      <c r="QB248" s="901"/>
      <c r="QC248" s="901"/>
      <c r="QD248" s="901"/>
      <c r="QE248" s="901"/>
      <c r="QF248" s="901"/>
      <c r="QG248" s="901"/>
      <c r="QH248" s="901"/>
      <c r="QI248" s="901"/>
      <c r="QJ248" s="901"/>
      <c r="QK248" s="901"/>
      <c r="QL248" s="901"/>
      <c r="QM248" s="901"/>
      <c r="QN248" s="901"/>
      <c r="QO248" s="901"/>
      <c r="QP248" s="901"/>
      <c r="QQ248" s="901"/>
      <c r="QR248" s="901"/>
      <c r="QS248" s="901"/>
      <c r="QT248" s="901"/>
      <c r="QU248" s="901"/>
      <c r="QV248" s="901"/>
      <c r="QW248" s="901"/>
      <c r="QX248" s="901"/>
      <c r="QY248" s="901"/>
      <c r="QZ248" s="901"/>
      <c r="RA248" s="901"/>
      <c r="RB248" s="901"/>
      <c r="RC248" s="901"/>
      <c r="RD248" s="901"/>
      <c r="RE248" s="901"/>
      <c r="RF248" s="901"/>
      <c r="RG248" s="901"/>
      <c r="RH248" s="901"/>
      <c r="RI248" s="901"/>
      <c r="RJ248" s="901"/>
      <c r="RK248" s="901"/>
      <c r="RL248" s="901"/>
      <c r="RM248" s="901"/>
      <c r="RN248" s="901"/>
      <c r="RO248" s="901"/>
      <c r="RP248" s="901"/>
      <c r="RQ248" s="901"/>
      <c r="RR248" s="901"/>
      <c r="RS248" s="901"/>
      <c r="RT248" s="901"/>
      <c r="RU248" s="901"/>
      <c r="RV248" s="901"/>
      <c r="RW248" s="901"/>
      <c r="RX248" s="901"/>
      <c r="RY248" s="901"/>
      <c r="RZ248" s="901"/>
      <c r="SA248" s="901"/>
      <c r="SB248" s="901"/>
      <c r="SC248" s="901"/>
      <c r="SD248" s="901"/>
      <c r="SE248" s="901"/>
      <c r="SF248" s="901"/>
      <c r="SG248" s="901"/>
      <c r="SH248" s="901"/>
      <c r="SI248" s="901"/>
      <c r="SJ248" s="901"/>
      <c r="SK248" s="901"/>
      <c r="SL248" s="901"/>
      <c r="SM248" s="901"/>
      <c r="SN248" s="901"/>
      <c r="SO248" s="901"/>
      <c r="SP248" s="901"/>
      <c r="SQ248" s="901"/>
      <c r="SR248" s="901"/>
      <c r="SS248" s="901"/>
      <c r="ST248" s="901"/>
      <c r="SU248" s="901"/>
      <c r="SV248" s="901"/>
      <c r="SW248" s="901"/>
      <c r="SX248" s="901"/>
      <c r="SY248" s="901"/>
      <c r="SZ248" s="901"/>
      <c r="TA248" s="901"/>
      <c r="TB248" s="901"/>
      <c r="TC248" s="901"/>
      <c r="TD248" s="901"/>
      <c r="TE248" s="901"/>
      <c r="TF248" s="901"/>
      <c r="TG248" s="901"/>
      <c r="TH248" s="901"/>
      <c r="TI248" s="901"/>
      <c r="TJ248" s="901"/>
      <c r="TK248" s="901"/>
      <c r="TL248" s="901"/>
      <c r="TM248" s="901"/>
      <c r="TN248" s="901"/>
      <c r="TO248" s="901"/>
      <c r="TP248" s="901"/>
      <c r="TQ248" s="901"/>
      <c r="TR248" s="901"/>
      <c r="TS248" s="901"/>
      <c r="TT248" s="901"/>
      <c r="TU248" s="901"/>
      <c r="TV248" s="901"/>
      <c r="TW248" s="901"/>
      <c r="TX248" s="901"/>
      <c r="TY248" s="901"/>
      <c r="TZ248" s="901"/>
      <c r="UA248" s="901"/>
      <c r="UB248" s="901"/>
      <c r="UC248" s="901"/>
      <c r="UD248" s="901"/>
      <c r="UE248" s="901"/>
      <c r="UF248" s="901"/>
      <c r="UG248" s="901"/>
      <c r="UH248" s="901"/>
      <c r="UI248" s="901"/>
      <c r="UJ248" s="901"/>
      <c r="UK248" s="901"/>
      <c r="UL248" s="901"/>
      <c r="UM248" s="901"/>
      <c r="UN248" s="901"/>
      <c r="UO248" s="901"/>
      <c r="UP248" s="901"/>
      <c r="UQ248" s="901"/>
      <c r="UR248" s="901"/>
      <c r="US248" s="901"/>
      <c r="UT248" s="901"/>
      <c r="UU248" s="901"/>
      <c r="UV248" s="901"/>
      <c r="UW248" s="901"/>
      <c r="UX248" s="901"/>
      <c r="UY248" s="901"/>
      <c r="UZ248" s="901"/>
      <c r="VA248" s="901"/>
      <c r="VB248" s="901"/>
      <c r="VC248" s="901"/>
      <c r="VD248" s="901"/>
      <c r="VE248" s="901"/>
      <c r="VF248" s="901"/>
      <c r="VG248" s="901"/>
      <c r="VH248" s="901"/>
      <c r="VI248" s="901"/>
      <c r="VJ248" s="901"/>
      <c r="VK248" s="901"/>
      <c r="VL248" s="901"/>
      <c r="VM248" s="901"/>
      <c r="VN248" s="901"/>
      <c r="VO248" s="901"/>
      <c r="VP248" s="901"/>
      <c r="VQ248" s="901"/>
      <c r="VR248" s="901"/>
      <c r="VS248" s="901"/>
      <c r="VT248" s="901"/>
      <c r="VU248" s="901"/>
      <c r="VV248" s="901"/>
      <c r="VW248" s="901"/>
      <c r="VX248" s="901"/>
      <c r="VY248" s="901"/>
      <c r="VZ248" s="901"/>
      <c r="WA248" s="901"/>
      <c r="WB248" s="901"/>
      <c r="WC248" s="901"/>
      <c r="WD248" s="901"/>
      <c r="WE248" s="901"/>
      <c r="WF248" s="901"/>
      <c r="WG248" s="901"/>
      <c r="WH248" s="901"/>
      <c r="WI248" s="901"/>
      <c r="WJ248" s="901"/>
      <c r="WK248" s="901"/>
      <c r="WL248" s="901"/>
      <c r="WM248" s="901"/>
      <c r="WN248" s="901"/>
      <c r="WO248" s="901"/>
      <c r="WP248" s="901"/>
      <c r="WQ248" s="901"/>
      <c r="WR248" s="901"/>
      <c r="WS248" s="901"/>
      <c r="WT248" s="901"/>
      <c r="WU248" s="901"/>
      <c r="WV248" s="901"/>
      <c r="WW248" s="901"/>
      <c r="WX248" s="901"/>
      <c r="WY248" s="901"/>
      <c r="WZ248" s="901"/>
      <c r="XA248" s="901"/>
      <c r="XB248" s="901"/>
      <c r="XC248" s="901"/>
      <c r="XD248" s="901"/>
      <c r="XE248" s="901"/>
      <c r="XF248" s="901"/>
      <c r="XG248" s="901"/>
      <c r="XH248" s="901"/>
      <c r="XI248" s="901"/>
      <c r="XJ248" s="901"/>
      <c r="XK248" s="901"/>
      <c r="XL248" s="901"/>
      <c r="XM248" s="901"/>
      <c r="XN248" s="901"/>
      <c r="XO248" s="901"/>
      <c r="XP248" s="901"/>
      <c r="XQ248" s="901"/>
      <c r="XR248" s="901"/>
      <c r="XS248" s="901"/>
      <c r="XT248" s="901"/>
      <c r="XU248" s="901"/>
      <c r="XV248" s="901"/>
      <c r="XW248" s="901"/>
      <c r="XX248" s="901"/>
      <c r="XY248" s="901"/>
      <c r="XZ248" s="901"/>
      <c r="YA248" s="901"/>
      <c r="YB248" s="901"/>
      <c r="YC248" s="901"/>
      <c r="YD248" s="901"/>
      <c r="YE248" s="901"/>
      <c r="YF248" s="901"/>
      <c r="YG248" s="901"/>
      <c r="YH248" s="901"/>
      <c r="YI248" s="901"/>
      <c r="YJ248" s="901"/>
      <c r="YK248" s="901"/>
      <c r="YL248" s="901"/>
      <c r="YM248" s="901"/>
      <c r="YN248" s="901"/>
      <c r="YO248" s="901"/>
      <c r="YP248" s="901"/>
      <c r="YQ248" s="901"/>
      <c r="YR248" s="901"/>
      <c r="YS248" s="901"/>
      <c r="YT248" s="901"/>
      <c r="YU248" s="901"/>
      <c r="YV248" s="901"/>
      <c r="YW248" s="901"/>
      <c r="YX248" s="901"/>
      <c r="YY248" s="901"/>
      <c r="YZ248" s="901"/>
      <c r="ZA248" s="901"/>
      <c r="ZB248" s="901"/>
      <c r="ZC248" s="901"/>
      <c r="ZD248" s="901"/>
      <c r="ZE248" s="901"/>
      <c r="ZF248" s="901"/>
      <c r="ZG248" s="901"/>
      <c r="ZH248" s="901"/>
      <c r="ZI248" s="901"/>
      <c r="ZJ248" s="901"/>
      <c r="ZK248" s="901"/>
      <c r="ZL248" s="901"/>
      <c r="ZM248" s="901"/>
      <c r="ZN248" s="901"/>
      <c r="ZO248" s="901"/>
      <c r="ZP248" s="901"/>
      <c r="ZQ248" s="901"/>
      <c r="ZR248" s="901"/>
      <c r="ZS248" s="901"/>
      <c r="ZT248" s="901"/>
      <c r="ZU248" s="901"/>
      <c r="ZV248" s="901"/>
      <c r="ZW248" s="901"/>
      <c r="ZX248" s="901"/>
      <c r="ZY248" s="901"/>
      <c r="ZZ248" s="901"/>
      <c r="AAA248" s="901"/>
      <c r="AAB248" s="901"/>
      <c r="AAC248" s="901"/>
      <c r="AAD248" s="901"/>
      <c r="AAE248" s="901"/>
      <c r="AAF248" s="901"/>
      <c r="AAG248" s="901"/>
      <c r="AAH248" s="901"/>
      <c r="AAI248" s="901"/>
      <c r="AAJ248" s="901"/>
      <c r="AAK248" s="901"/>
      <c r="AAL248" s="901"/>
      <c r="AAM248" s="901"/>
      <c r="AAN248" s="901"/>
      <c r="AAO248" s="901"/>
      <c r="AAP248" s="901"/>
      <c r="AAQ248" s="901"/>
      <c r="AAR248" s="901"/>
      <c r="AAS248" s="901"/>
      <c r="AAT248" s="901"/>
      <c r="AAU248" s="901"/>
      <c r="AAV248" s="901"/>
      <c r="AAW248" s="901"/>
      <c r="AAX248" s="901"/>
      <c r="AAY248" s="901"/>
      <c r="AAZ248" s="901"/>
      <c r="ABA248" s="901"/>
      <c r="ABB248" s="901"/>
      <c r="ABC248" s="901"/>
      <c r="ABD248" s="901"/>
      <c r="ABE248" s="901"/>
      <c r="ABF248" s="901"/>
      <c r="ABG248" s="901"/>
      <c r="ABH248" s="901"/>
      <c r="ABI248" s="901"/>
      <c r="ABJ248" s="901"/>
      <c r="ABK248" s="901"/>
      <c r="ABL248" s="901"/>
      <c r="ABM248" s="901"/>
      <c r="ABN248" s="901"/>
      <c r="ABO248" s="901"/>
      <c r="ABP248" s="901"/>
      <c r="ABQ248" s="901"/>
      <c r="ABR248" s="901"/>
      <c r="ABS248" s="901"/>
      <c r="ABT248" s="901"/>
      <c r="ABU248" s="901"/>
      <c r="ABV248" s="901"/>
      <c r="ABW248" s="901"/>
      <c r="ABX248" s="901"/>
      <c r="ABY248" s="901"/>
      <c r="ABZ248" s="901"/>
      <c r="ACA248" s="901"/>
      <c r="ACB248" s="901"/>
      <c r="ACC248" s="901"/>
      <c r="ACD248" s="901"/>
      <c r="ACE248" s="901"/>
      <c r="ACF248" s="901"/>
      <c r="ACG248" s="901"/>
      <c r="ACH248" s="901"/>
      <c r="ACI248" s="901"/>
      <c r="ACJ248" s="901"/>
      <c r="ACK248" s="901"/>
      <c r="ACL248" s="901"/>
      <c r="ACM248" s="901"/>
      <c r="ACN248" s="901"/>
      <c r="ACO248" s="901"/>
      <c r="ACP248" s="901"/>
      <c r="ACQ248" s="901"/>
      <c r="ACR248" s="901"/>
      <c r="ACS248" s="901"/>
      <c r="ACT248" s="901"/>
      <c r="ACU248" s="901"/>
      <c r="ACV248" s="901"/>
      <c r="ACW248" s="901"/>
      <c r="ACX248" s="901"/>
      <c r="ACY248" s="901"/>
      <c r="ACZ248" s="901"/>
      <c r="ADA248" s="901"/>
      <c r="ADB248" s="901"/>
      <c r="ADC248" s="901"/>
      <c r="ADD248" s="901"/>
      <c r="ADE248" s="901"/>
      <c r="ADF248" s="901"/>
      <c r="ADG248" s="901"/>
      <c r="ADH248" s="901"/>
      <c r="ADI248" s="901"/>
      <c r="ADJ248" s="901"/>
      <c r="ADK248" s="901"/>
      <c r="ADL248" s="901"/>
      <c r="ADM248" s="901"/>
      <c r="ADN248" s="901"/>
      <c r="ADO248" s="901"/>
      <c r="ADP248" s="901"/>
      <c r="ADQ248" s="901"/>
      <c r="ADR248" s="901"/>
      <c r="ADS248" s="901"/>
      <c r="ADT248" s="901"/>
      <c r="ADU248" s="901"/>
      <c r="ADV248" s="901"/>
      <c r="ADW248" s="901"/>
      <c r="ADX248" s="901"/>
      <c r="ADY248" s="901"/>
      <c r="ADZ248" s="901"/>
      <c r="AEA248" s="901"/>
      <c r="AEB248" s="901"/>
      <c r="AEC248" s="901"/>
      <c r="AED248" s="901"/>
      <c r="AEE248" s="901"/>
      <c r="AEF248" s="901"/>
      <c r="AEG248" s="901"/>
      <c r="AEH248" s="901"/>
      <c r="AEI248" s="901"/>
      <c r="AEJ248" s="901"/>
      <c r="AEK248" s="901"/>
      <c r="AEL248" s="901"/>
      <c r="AEM248" s="901"/>
      <c r="AEN248" s="901"/>
      <c r="AEO248" s="901"/>
      <c r="AEP248" s="901"/>
      <c r="AEQ248" s="901"/>
      <c r="AER248" s="901"/>
      <c r="AES248" s="901"/>
      <c r="AET248" s="901"/>
      <c r="AEU248" s="901"/>
      <c r="AEV248" s="901"/>
      <c r="AEW248" s="901"/>
      <c r="AEX248" s="901"/>
      <c r="AEY248" s="901"/>
      <c r="AEZ248" s="901"/>
      <c r="AFA248" s="901"/>
      <c r="AFB248" s="901"/>
      <c r="AFC248" s="901"/>
      <c r="AFD248" s="901"/>
      <c r="AFE248" s="901"/>
      <c r="AFF248" s="901"/>
      <c r="AFG248" s="901"/>
      <c r="AFH248" s="901"/>
      <c r="AFI248" s="901"/>
      <c r="AFJ248" s="901"/>
      <c r="AFK248" s="901"/>
      <c r="AFL248" s="901"/>
      <c r="AFM248" s="901"/>
      <c r="AFN248" s="901"/>
      <c r="AFO248" s="901"/>
      <c r="AFP248" s="901"/>
      <c r="AFQ248" s="901"/>
      <c r="AFR248" s="901"/>
      <c r="AFS248" s="901"/>
      <c r="AFT248" s="901"/>
      <c r="AFU248" s="901"/>
      <c r="AFV248" s="901"/>
      <c r="AFW248" s="901"/>
      <c r="AFX248" s="901"/>
      <c r="AFY248" s="901"/>
      <c r="AFZ248" s="901"/>
      <c r="AGA248" s="901"/>
      <c r="AGB248" s="901"/>
      <c r="AGC248" s="901"/>
      <c r="AGD248" s="901"/>
      <c r="AGE248" s="901"/>
      <c r="AGF248" s="901"/>
      <c r="AGG248" s="901"/>
      <c r="AGH248" s="901"/>
      <c r="AGI248" s="901"/>
      <c r="AGJ248" s="901"/>
      <c r="AGK248" s="901"/>
      <c r="AGL248" s="901"/>
      <c r="AGM248" s="901"/>
      <c r="AGN248" s="901"/>
      <c r="AGO248" s="901"/>
      <c r="AGP248" s="901"/>
      <c r="AGQ248" s="901"/>
      <c r="AGR248" s="901"/>
      <c r="AGS248" s="901"/>
      <c r="AGT248" s="901"/>
      <c r="AGU248" s="901"/>
      <c r="AGV248" s="901"/>
      <c r="AGW248" s="901"/>
      <c r="AGX248" s="901"/>
      <c r="AGY248" s="901"/>
      <c r="AGZ248" s="901"/>
      <c r="AHA248" s="901"/>
      <c r="AHB248" s="901"/>
      <c r="AHC248" s="901"/>
      <c r="AHD248" s="901"/>
      <c r="AHE248" s="901"/>
      <c r="AHF248" s="901"/>
      <c r="AHG248" s="901"/>
      <c r="AHH248" s="901"/>
      <c r="AHI248" s="901"/>
      <c r="AHJ248" s="901"/>
      <c r="AHK248" s="901"/>
      <c r="AHL248" s="901"/>
      <c r="AHM248" s="901"/>
      <c r="AHN248" s="901"/>
      <c r="AHO248" s="901"/>
      <c r="AHP248" s="901"/>
      <c r="AHQ248" s="901"/>
      <c r="AHR248" s="901"/>
      <c r="AHS248" s="901"/>
      <c r="AHT248" s="901"/>
      <c r="AHU248" s="901"/>
      <c r="AHV248" s="901"/>
      <c r="AHW248" s="901"/>
      <c r="AHX248" s="901"/>
      <c r="AHY248" s="901"/>
      <c r="AHZ248" s="901"/>
      <c r="AIA248" s="901"/>
      <c r="AIB248" s="901"/>
      <c r="AIC248" s="901"/>
      <c r="AID248" s="901"/>
      <c r="AIE248" s="901"/>
      <c r="AIF248" s="901"/>
      <c r="AIG248" s="901"/>
      <c r="AIH248" s="901"/>
      <c r="AII248" s="901"/>
      <c r="AIJ248" s="901"/>
      <c r="AIK248" s="901"/>
      <c r="AIL248" s="901"/>
      <c r="AIM248" s="901"/>
      <c r="AIN248" s="901"/>
      <c r="AIO248" s="901"/>
      <c r="AIP248" s="901"/>
      <c r="AIQ248" s="901"/>
      <c r="AIR248" s="901"/>
      <c r="AIS248" s="901"/>
      <c r="AIT248" s="901"/>
      <c r="AIU248" s="901"/>
      <c r="AIV248" s="901"/>
      <c r="AIW248" s="901"/>
      <c r="AIX248" s="901"/>
      <c r="AIY248" s="901"/>
      <c r="AIZ248" s="901"/>
      <c r="AJA248" s="901"/>
      <c r="AJB248" s="901"/>
      <c r="AJC248" s="901"/>
      <c r="AJD248" s="901"/>
      <c r="AJE248" s="901"/>
      <c r="AJF248" s="901"/>
      <c r="AJG248" s="901"/>
      <c r="AJH248" s="901"/>
      <c r="AJI248" s="901"/>
      <c r="AJJ248" s="901"/>
      <c r="AJK248" s="901"/>
      <c r="AJL248" s="901"/>
      <c r="AJM248" s="901"/>
      <c r="AJN248" s="901"/>
      <c r="AJO248" s="901"/>
      <c r="AJP248" s="901"/>
      <c r="AJQ248" s="901"/>
      <c r="AJR248" s="901"/>
      <c r="AJS248" s="901"/>
      <c r="AJT248" s="901"/>
      <c r="AJU248" s="901"/>
      <c r="AJV248" s="901"/>
      <c r="AJW248" s="901"/>
      <c r="AJX248" s="901"/>
      <c r="AJY248" s="901"/>
      <c r="AJZ248" s="901"/>
      <c r="AKA248" s="901"/>
      <c r="AKB248" s="901"/>
      <c r="AKC248" s="901"/>
      <c r="AKD248" s="901"/>
      <c r="AKE248" s="901"/>
      <c r="AKF248" s="901"/>
      <c r="AKG248" s="901"/>
      <c r="AKH248" s="901"/>
      <c r="AKI248" s="901"/>
      <c r="AKJ248" s="901"/>
      <c r="AKK248" s="901"/>
      <c r="AKL248" s="901"/>
      <c r="AKM248" s="901"/>
      <c r="AKN248" s="901"/>
      <c r="AKO248" s="901"/>
      <c r="AKP248" s="901"/>
      <c r="AKQ248" s="901"/>
      <c r="AKR248" s="901"/>
      <c r="AKS248" s="901"/>
      <c r="AKT248" s="901"/>
      <c r="AKU248" s="901"/>
      <c r="AKV248" s="901"/>
      <c r="AKW248" s="901"/>
      <c r="AKX248" s="901"/>
      <c r="AKY248" s="901"/>
      <c r="AKZ248" s="901"/>
      <c r="ALA248" s="901"/>
      <c r="ALB248" s="901"/>
      <c r="ALC248" s="901"/>
      <c r="ALD248" s="901"/>
      <c r="ALE248" s="901"/>
      <c r="ALF248" s="901"/>
      <c r="ALG248" s="901"/>
      <c r="ALH248" s="901"/>
      <c r="ALI248" s="901"/>
      <c r="ALJ248" s="901"/>
      <c r="ALK248" s="901"/>
      <c r="ALL248" s="901"/>
      <c r="ALM248" s="901"/>
      <c r="ALN248" s="901"/>
      <c r="ALO248" s="901"/>
      <c r="ALP248" s="901"/>
      <c r="ALQ248" s="901"/>
      <c r="ALR248" s="901"/>
      <c r="ALS248" s="901"/>
      <c r="ALT248" s="901"/>
      <c r="ALU248" s="901"/>
      <c r="ALV248" s="901"/>
      <c r="ALW248" s="901"/>
      <c r="ALX248" s="901"/>
      <c r="ALY248" s="901"/>
      <c r="ALZ248" s="901"/>
      <c r="AMA248" s="901"/>
      <c r="AMB248" s="901"/>
      <c r="AMC248" s="901"/>
      <c r="AMD248" s="901"/>
      <c r="AME248" s="901"/>
      <c r="AMF248" s="901"/>
      <c r="AMG248" s="901"/>
      <c r="AMH248" s="901"/>
      <c r="AMI248" s="901"/>
      <c r="AMJ248" s="901"/>
      <c r="AMK248" s="901"/>
      <c r="AML248" s="901"/>
    </row>
    <row r="249" spans="1:1026">
      <c r="A249" s="80">
        <v>5</v>
      </c>
      <c r="B249" s="14" t="s">
        <v>16</v>
      </c>
      <c r="C249" s="14">
        <v>4</v>
      </c>
      <c r="D249" s="14" t="s">
        <v>16</v>
      </c>
      <c r="E249" s="15" t="s">
        <v>84</v>
      </c>
      <c r="F249" s="14" t="s">
        <v>16</v>
      </c>
      <c r="G249" s="81" t="s">
        <v>86</v>
      </c>
      <c r="H249" s="251" t="s">
        <v>264</v>
      </c>
      <c r="I249" s="122">
        <v>500</v>
      </c>
      <c r="J249" s="95">
        <v>0</v>
      </c>
      <c r="K249" s="94">
        <v>500</v>
      </c>
      <c r="L249" s="95">
        <v>498.61</v>
      </c>
      <c r="M249" s="94">
        <v>1000</v>
      </c>
      <c r="N249" s="95">
        <v>1595.08</v>
      </c>
      <c r="O249" s="96">
        <v>1000</v>
      </c>
      <c r="P249" s="95">
        <v>0</v>
      </c>
      <c r="Q249" s="96">
        <v>1000</v>
      </c>
      <c r="R249" s="95">
        <v>0</v>
      </c>
      <c r="S249" s="99">
        <v>1000</v>
      </c>
      <c r="T249" s="99">
        <v>1000</v>
      </c>
      <c r="U249" s="99">
        <v>-300</v>
      </c>
      <c r="V249" s="99">
        <v>1000</v>
      </c>
      <c r="W249" s="100">
        <v>-300</v>
      </c>
      <c r="X249" s="101">
        <v>500</v>
      </c>
      <c r="Y249" s="102">
        <v>0</v>
      </c>
      <c r="Z249" s="101">
        <v>500</v>
      </c>
      <c r="AA249" s="127">
        <v>0</v>
      </c>
      <c r="AB249" s="101">
        <v>500</v>
      </c>
      <c r="AC249" s="127">
        <v>0</v>
      </c>
      <c r="AD249" s="101">
        <v>500</v>
      </c>
      <c r="AE249" s="127">
        <v>-399.41</v>
      </c>
      <c r="AF249" s="101">
        <v>500</v>
      </c>
      <c r="AG249" s="746">
        <v>-19.77</v>
      </c>
      <c r="AH249" s="864">
        <v>500</v>
      </c>
      <c r="AI249" s="864">
        <v>500</v>
      </c>
      <c r="AJ249" s="101">
        <v>500</v>
      </c>
      <c r="AK249" s="706"/>
      <c r="AM249" s="106"/>
      <c r="AN249" s="106"/>
    </row>
    <row r="250" spans="1:1026">
      <c r="A250" s="80">
        <v>5</v>
      </c>
      <c r="B250" s="14" t="s">
        <v>16</v>
      </c>
      <c r="C250" s="14">
        <v>4</v>
      </c>
      <c r="D250" s="14" t="s">
        <v>16</v>
      </c>
      <c r="E250" s="15" t="s">
        <v>84</v>
      </c>
      <c r="F250" s="14" t="s">
        <v>16</v>
      </c>
      <c r="G250" s="81" t="s">
        <v>73</v>
      </c>
      <c r="H250" s="251" t="s">
        <v>223</v>
      </c>
      <c r="I250" s="396"/>
      <c r="J250" s="321"/>
      <c r="K250" s="320">
        <v>2000</v>
      </c>
      <c r="L250" s="321">
        <v>255.69</v>
      </c>
      <c r="M250" s="320">
        <v>1500</v>
      </c>
      <c r="N250" s="321">
        <v>853.57</v>
      </c>
      <c r="O250" s="322">
        <v>1500</v>
      </c>
      <c r="P250" s="321">
        <v>26.44</v>
      </c>
      <c r="Q250" s="322">
        <v>1500</v>
      </c>
      <c r="R250" s="321">
        <v>26.44</v>
      </c>
      <c r="S250" s="324">
        <v>1500</v>
      </c>
      <c r="T250" s="324">
        <v>1500</v>
      </c>
      <c r="U250" s="324">
        <v>-191.07</v>
      </c>
      <c r="V250" s="324">
        <v>1500</v>
      </c>
      <c r="W250" s="325">
        <v>-191.07</v>
      </c>
      <c r="X250" s="326">
        <v>1500</v>
      </c>
      <c r="Y250" s="116">
        <v>0</v>
      </c>
      <c r="Z250" s="326">
        <v>1500</v>
      </c>
      <c r="AA250" s="511">
        <v>0</v>
      </c>
      <c r="AB250" s="326">
        <v>500</v>
      </c>
      <c r="AC250" s="511">
        <v>0</v>
      </c>
      <c r="AD250" s="326">
        <v>500</v>
      </c>
      <c r="AE250" s="511">
        <v>-991.03</v>
      </c>
      <c r="AF250" s="326">
        <v>500</v>
      </c>
      <c r="AG250" s="769"/>
      <c r="AH250" s="861">
        <v>500</v>
      </c>
      <c r="AI250" s="861">
        <v>500</v>
      </c>
      <c r="AJ250" s="326">
        <v>500</v>
      </c>
      <c r="AK250" s="706"/>
      <c r="AM250" s="106"/>
      <c r="AN250" s="106"/>
    </row>
    <row r="251" spans="1:1026">
      <c r="A251" s="80">
        <v>5</v>
      </c>
      <c r="B251" s="14" t="s">
        <v>16</v>
      </c>
      <c r="C251" s="14">
        <v>4</v>
      </c>
      <c r="D251" s="14" t="s">
        <v>16</v>
      </c>
      <c r="E251" s="15" t="s">
        <v>84</v>
      </c>
      <c r="F251" s="14" t="s">
        <v>16</v>
      </c>
      <c r="G251" s="81" t="s">
        <v>77</v>
      </c>
      <c r="H251" s="251" t="s">
        <v>265</v>
      </c>
      <c r="I251" s="396"/>
      <c r="J251" s="321"/>
      <c r="K251" s="320">
        <v>5000</v>
      </c>
      <c r="L251" s="321">
        <v>0</v>
      </c>
      <c r="M251" s="320">
        <v>1000</v>
      </c>
      <c r="N251" s="321">
        <v>1448.97</v>
      </c>
      <c r="O251" s="322">
        <v>1000</v>
      </c>
      <c r="P251" s="321">
        <v>0</v>
      </c>
      <c r="Q251" s="322">
        <v>1000</v>
      </c>
      <c r="R251" s="321">
        <v>0</v>
      </c>
      <c r="S251" s="324">
        <v>600</v>
      </c>
      <c r="T251" s="324">
        <v>600</v>
      </c>
      <c r="U251" s="324">
        <v>0</v>
      </c>
      <c r="V251" s="324">
        <v>600</v>
      </c>
      <c r="W251" s="325">
        <v>0</v>
      </c>
      <c r="X251" s="326">
        <v>600</v>
      </c>
      <c r="Y251" s="116">
        <v>0</v>
      </c>
      <c r="Z251" s="326">
        <v>600</v>
      </c>
      <c r="AA251" s="511">
        <v>-82.96</v>
      </c>
      <c r="AB251" s="326">
        <v>600</v>
      </c>
      <c r="AC251" s="511">
        <v>-82.96</v>
      </c>
      <c r="AD251" s="326">
        <v>600</v>
      </c>
      <c r="AE251" s="511">
        <v>-701.28</v>
      </c>
      <c r="AF251" s="326">
        <v>600</v>
      </c>
      <c r="AG251" s="769"/>
      <c r="AH251" s="861">
        <v>600</v>
      </c>
      <c r="AI251" s="861">
        <v>600</v>
      </c>
      <c r="AJ251" s="326">
        <v>600</v>
      </c>
      <c r="AK251" s="706"/>
      <c r="AM251" s="106"/>
      <c r="AN251" s="106"/>
    </row>
    <row r="252" spans="1:1026">
      <c r="A252" s="80">
        <v>5</v>
      </c>
      <c r="B252" s="14" t="s">
        <v>16</v>
      </c>
      <c r="C252" s="14">
        <v>4</v>
      </c>
      <c r="D252" s="14" t="s">
        <v>16</v>
      </c>
      <c r="E252" s="15" t="s">
        <v>84</v>
      </c>
      <c r="F252" s="14" t="s">
        <v>16</v>
      </c>
      <c r="G252" s="81" t="s">
        <v>118</v>
      </c>
      <c r="H252" s="251" t="s">
        <v>110</v>
      </c>
      <c r="I252" s="396">
        <v>23400</v>
      </c>
      <c r="J252" s="321">
        <v>23400</v>
      </c>
      <c r="K252" s="320">
        <f>12*650*3</f>
        <v>23400</v>
      </c>
      <c r="L252" s="321">
        <v>17550</v>
      </c>
      <c r="M252" s="320">
        <f>12*650*3</f>
        <v>23400</v>
      </c>
      <c r="N252" s="321">
        <v>21775</v>
      </c>
      <c r="O252" s="322">
        <f>12*650*3</f>
        <v>23400</v>
      </c>
      <c r="P252" s="321">
        <v>9100</v>
      </c>
      <c r="Q252" s="322">
        <v>17550</v>
      </c>
      <c r="R252" s="321">
        <v>13000</v>
      </c>
      <c r="S252" s="324">
        <v>23400</v>
      </c>
      <c r="T252" s="324">
        <v>23400</v>
      </c>
      <c r="U252" s="324">
        <v>-12350</v>
      </c>
      <c r="V252" s="324">
        <f>(650*11+770)*3</f>
        <v>23760</v>
      </c>
      <c r="W252" s="325">
        <v>-16250</v>
      </c>
      <c r="X252" s="326">
        <f>[1]Tabelle1!B11*3</f>
        <v>25920</v>
      </c>
      <c r="Y252" s="116">
        <v>-9750</v>
      </c>
      <c r="Z252" s="132">
        <f>X252/12*8+3*770*4</f>
        <v>26520</v>
      </c>
      <c r="AA252" s="549">
        <v>-26619.67</v>
      </c>
      <c r="AB252" s="132">
        <f>Z252/12*8+3*770*4</f>
        <v>26920</v>
      </c>
      <c r="AC252" s="549">
        <v>-26619.67</v>
      </c>
      <c r="AD252" s="132">
        <f>Z252/12*8+3*900*4</f>
        <v>28480</v>
      </c>
      <c r="AE252" s="549">
        <v>-28270.74</v>
      </c>
      <c r="AF252" s="841">
        <f>(778+900*2)*12</f>
        <v>30936</v>
      </c>
      <c r="AG252" s="773">
        <v>-14856</v>
      </c>
      <c r="AH252" s="841">
        <f>(778+900*2)*12</f>
        <v>30936</v>
      </c>
      <c r="AI252" s="841">
        <f>(778+900*2)*12</f>
        <v>30936</v>
      </c>
      <c r="AJ252" s="841">
        <f>(778+900*2)*12</f>
        <v>30936</v>
      </c>
      <c r="AK252" s="735"/>
      <c r="AM252" s="106"/>
      <c r="AN252" s="106"/>
    </row>
    <row r="253" spans="1:1026" s="902" customFormat="1">
      <c r="A253" s="882">
        <v>5</v>
      </c>
      <c r="B253" s="883" t="s">
        <v>16</v>
      </c>
      <c r="C253" s="883">
        <v>4</v>
      </c>
      <c r="D253" s="883" t="s">
        <v>16</v>
      </c>
      <c r="E253" s="884" t="s">
        <v>84</v>
      </c>
      <c r="F253" s="883" t="s">
        <v>16</v>
      </c>
      <c r="G253" s="885" t="s">
        <v>75</v>
      </c>
      <c r="H253" s="886" t="s">
        <v>266</v>
      </c>
      <c r="I253" s="887"/>
      <c r="J253" s="888"/>
      <c r="K253" s="889">
        <v>8000</v>
      </c>
      <c r="L253" s="888">
        <v>4995</v>
      </c>
      <c r="M253" s="889">
        <v>8000</v>
      </c>
      <c r="N253" s="888">
        <v>8122.5</v>
      </c>
      <c r="O253" s="890">
        <v>8000</v>
      </c>
      <c r="P253" s="888">
        <v>3378.53</v>
      </c>
      <c r="Q253" s="890">
        <v>8000</v>
      </c>
      <c r="R253" s="888">
        <v>4198.53</v>
      </c>
      <c r="S253" s="891">
        <v>9000</v>
      </c>
      <c r="T253" s="891">
        <v>9000</v>
      </c>
      <c r="U253" s="891">
        <v>-2680</v>
      </c>
      <c r="V253" s="892">
        <f>ROUNDUP(T253*1.024,-2)</f>
        <v>9300</v>
      </c>
      <c r="W253" s="893">
        <v>-3580</v>
      </c>
      <c r="X253" s="894">
        <v>9000</v>
      </c>
      <c r="Y253" s="895">
        <v>-1350</v>
      </c>
      <c r="Z253" s="894">
        <v>9000</v>
      </c>
      <c r="AA253" s="896">
        <v>-5898.08</v>
      </c>
      <c r="AB253" s="894">
        <v>14400</v>
      </c>
      <c r="AC253" s="896">
        <v>-5898.08</v>
      </c>
      <c r="AD253" s="894">
        <f>560*2*7+600*2*5</f>
        <v>13840</v>
      </c>
      <c r="AE253" s="896">
        <v>-10826</v>
      </c>
      <c r="AF253" s="894">
        <v>14400</v>
      </c>
      <c r="AG253" s="897">
        <v>-3812.5</v>
      </c>
      <c r="AH253" s="894">
        <v>14400</v>
      </c>
      <c r="AI253" s="894">
        <f>14400+7200</f>
        <v>21600</v>
      </c>
      <c r="AJ253" s="894">
        <f>14400/2*3</f>
        <v>21600</v>
      </c>
      <c r="AK253" s="898" t="s">
        <v>509</v>
      </c>
      <c r="AL253" s="899"/>
      <c r="AM253" s="900"/>
      <c r="AN253" s="900"/>
      <c r="AO253" s="901"/>
      <c r="AP253" s="901"/>
      <c r="AQ253" s="901"/>
      <c r="AR253" s="901"/>
      <c r="AS253" s="901"/>
      <c r="AT253" s="901"/>
      <c r="AU253" s="901"/>
      <c r="AV253" s="901"/>
      <c r="AW253" s="901"/>
      <c r="AX253" s="901"/>
      <c r="AY253" s="901"/>
      <c r="AZ253" s="901"/>
      <c r="BA253" s="901"/>
      <c r="BB253" s="901"/>
      <c r="BC253" s="901"/>
      <c r="BD253" s="901"/>
      <c r="BE253" s="901"/>
      <c r="BF253" s="901"/>
      <c r="BG253" s="901"/>
      <c r="BH253" s="901"/>
      <c r="BI253" s="901"/>
      <c r="BJ253" s="901"/>
      <c r="BK253" s="901"/>
      <c r="BL253" s="901"/>
      <c r="BM253" s="901"/>
      <c r="BN253" s="901"/>
      <c r="BO253" s="901"/>
      <c r="BP253" s="901"/>
      <c r="BQ253" s="901"/>
      <c r="BR253" s="901"/>
      <c r="BS253" s="901"/>
      <c r="BT253" s="901"/>
      <c r="BU253" s="901"/>
      <c r="BV253" s="901"/>
      <c r="BW253" s="901"/>
      <c r="BX253" s="901"/>
      <c r="BY253" s="901"/>
      <c r="BZ253" s="901"/>
      <c r="CA253" s="901"/>
      <c r="CB253" s="901"/>
      <c r="CC253" s="901"/>
      <c r="CD253" s="901"/>
      <c r="CE253" s="901"/>
      <c r="CF253" s="901"/>
      <c r="CG253" s="901"/>
      <c r="CH253" s="901"/>
      <c r="CI253" s="901"/>
      <c r="CJ253" s="901"/>
      <c r="CK253" s="901"/>
      <c r="CL253" s="901"/>
      <c r="CM253" s="901"/>
      <c r="CN253" s="901"/>
      <c r="CO253" s="901"/>
      <c r="CP253" s="901"/>
      <c r="CQ253" s="901"/>
      <c r="CR253" s="901"/>
      <c r="CS253" s="901"/>
      <c r="CT253" s="901"/>
      <c r="CU253" s="901"/>
      <c r="CV253" s="901"/>
      <c r="CW253" s="901"/>
      <c r="CX253" s="901"/>
      <c r="CY253" s="901"/>
      <c r="CZ253" s="901"/>
      <c r="DA253" s="901"/>
      <c r="DB253" s="901"/>
      <c r="DC253" s="901"/>
      <c r="DD253" s="901"/>
      <c r="DE253" s="901"/>
      <c r="DF253" s="901"/>
      <c r="DG253" s="901"/>
      <c r="DH253" s="901"/>
      <c r="DI253" s="901"/>
      <c r="DJ253" s="901"/>
      <c r="DK253" s="901"/>
      <c r="DL253" s="901"/>
      <c r="DM253" s="901"/>
      <c r="DN253" s="901"/>
      <c r="DO253" s="901"/>
      <c r="DP253" s="901"/>
      <c r="DQ253" s="901"/>
      <c r="DR253" s="901"/>
      <c r="DS253" s="901"/>
      <c r="DT253" s="901"/>
      <c r="DU253" s="901"/>
      <c r="DV253" s="901"/>
      <c r="DW253" s="901"/>
      <c r="DX253" s="901"/>
      <c r="DY253" s="901"/>
      <c r="DZ253" s="901"/>
      <c r="EA253" s="901"/>
      <c r="EB253" s="901"/>
      <c r="EC253" s="901"/>
      <c r="ED253" s="901"/>
      <c r="EE253" s="901"/>
      <c r="EF253" s="901"/>
      <c r="EG253" s="901"/>
      <c r="EH253" s="901"/>
      <c r="EI253" s="901"/>
      <c r="EJ253" s="901"/>
      <c r="EK253" s="901"/>
      <c r="EL253" s="901"/>
      <c r="EM253" s="901"/>
      <c r="EN253" s="901"/>
      <c r="EO253" s="901"/>
      <c r="EP253" s="901"/>
      <c r="EQ253" s="901"/>
      <c r="ER253" s="901"/>
      <c r="ES253" s="901"/>
      <c r="ET253" s="901"/>
      <c r="EU253" s="901"/>
      <c r="EV253" s="901"/>
      <c r="EW253" s="901"/>
      <c r="EX253" s="901"/>
      <c r="EY253" s="901"/>
      <c r="EZ253" s="901"/>
      <c r="FA253" s="901"/>
      <c r="FB253" s="901"/>
      <c r="FC253" s="901"/>
      <c r="FD253" s="901"/>
      <c r="FE253" s="901"/>
      <c r="FF253" s="901"/>
      <c r="FG253" s="901"/>
      <c r="FH253" s="901"/>
      <c r="FI253" s="901"/>
      <c r="FJ253" s="901"/>
      <c r="FK253" s="901"/>
      <c r="FL253" s="901"/>
      <c r="FM253" s="901"/>
      <c r="FN253" s="901"/>
      <c r="FO253" s="901"/>
      <c r="FP253" s="901"/>
      <c r="FQ253" s="901"/>
      <c r="FR253" s="901"/>
      <c r="FS253" s="901"/>
      <c r="FT253" s="901"/>
      <c r="FU253" s="901"/>
      <c r="FV253" s="901"/>
      <c r="FW253" s="901"/>
      <c r="FX253" s="901"/>
      <c r="FY253" s="901"/>
      <c r="FZ253" s="901"/>
      <c r="GA253" s="901"/>
      <c r="GB253" s="901"/>
      <c r="GC253" s="901"/>
      <c r="GD253" s="901"/>
      <c r="GE253" s="901"/>
      <c r="GF253" s="901"/>
      <c r="GG253" s="901"/>
      <c r="GH253" s="901"/>
      <c r="GI253" s="901"/>
      <c r="GJ253" s="901"/>
      <c r="GK253" s="901"/>
      <c r="GL253" s="901"/>
      <c r="GM253" s="901"/>
      <c r="GN253" s="901"/>
      <c r="GO253" s="901"/>
      <c r="GP253" s="901"/>
      <c r="GQ253" s="901"/>
      <c r="GR253" s="901"/>
      <c r="GS253" s="901"/>
      <c r="GT253" s="901"/>
      <c r="GU253" s="901"/>
      <c r="GV253" s="901"/>
      <c r="GW253" s="901"/>
      <c r="GX253" s="901"/>
      <c r="GY253" s="901"/>
      <c r="GZ253" s="901"/>
      <c r="HA253" s="901"/>
      <c r="HB253" s="901"/>
      <c r="HC253" s="901"/>
      <c r="HD253" s="901"/>
      <c r="HE253" s="901"/>
      <c r="HF253" s="901"/>
      <c r="HG253" s="901"/>
      <c r="HH253" s="901"/>
      <c r="HI253" s="901"/>
      <c r="HJ253" s="901"/>
      <c r="HK253" s="901"/>
      <c r="HL253" s="901"/>
      <c r="HM253" s="901"/>
      <c r="HN253" s="901"/>
      <c r="HO253" s="901"/>
      <c r="HP253" s="901"/>
      <c r="HQ253" s="901"/>
      <c r="HR253" s="901"/>
      <c r="HS253" s="901"/>
      <c r="HT253" s="901"/>
      <c r="HU253" s="901"/>
      <c r="HV253" s="901"/>
      <c r="HW253" s="901"/>
      <c r="HX253" s="901"/>
      <c r="HY253" s="901"/>
      <c r="HZ253" s="901"/>
      <c r="IA253" s="901"/>
      <c r="IB253" s="901"/>
      <c r="IC253" s="901"/>
      <c r="ID253" s="901"/>
      <c r="IE253" s="901"/>
      <c r="IF253" s="901"/>
      <c r="IG253" s="901"/>
      <c r="IH253" s="901"/>
      <c r="II253" s="901"/>
      <c r="IJ253" s="901"/>
      <c r="IK253" s="901"/>
      <c r="IL253" s="901"/>
      <c r="IM253" s="901"/>
      <c r="IN253" s="901"/>
      <c r="IO253" s="901"/>
      <c r="IP253" s="901"/>
      <c r="IQ253" s="901"/>
      <c r="IR253" s="901"/>
      <c r="IS253" s="901"/>
      <c r="IT253" s="901"/>
      <c r="IU253" s="901"/>
      <c r="IV253" s="901"/>
      <c r="IW253" s="901"/>
      <c r="IX253" s="901"/>
      <c r="IY253" s="901"/>
      <c r="IZ253" s="901"/>
      <c r="JA253" s="901"/>
      <c r="JB253" s="901"/>
      <c r="JC253" s="901"/>
      <c r="JD253" s="901"/>
      <c r="JE253" s="901"/>
      <c r="JF253" s="901"/>
      <c r="JG253" s="901"/>
      <c r="JH253" s="901"/>
      <c r="JI253" s="901"/>
      <c r="JJ253" s="901"/>
      <c r="JK253" s="901"/>
      <c r="JL253" s="901"/>
      <c r="JM253" s="901"/>
      <c r="JN253" s="901"/>
      <c r="JO253" s="901"/>
      <c r="JP253" s="901"/>
      <c r="JQ253" s="901"/>
      <c r="JR253" s="901"/>
      <c r="JS253" s="901"/>
      <c r="JT253" s="901"/>
      <c r="JU253" s="901"/>
      <c r="JV253" s="901"/>
      <c r="JW253" s="901"/>
      <c r="JX253" s="901"/>
      <c r="JY253" s="901"/>
      <c r="JZ253" s="901"/>
      <c r="KA253" s="901"/>
      <c r="KB253" s="901"/>
      <c r="KC253" s="901"/>
      <c r="KD253" s="901"/>
      <c r="KE253" s="901"/>
      <c r="KF253" s="901"/>
      <c r="KG253" s="901"/>
      <c r="KH253" s="901"/>
      <c r="KI253" s="901"/>
      <c r="KJ253" s="901"/>
      <c r="KK253" s="901"/>
      <c r="KL253" s="901"/>
      <c r="KM253" s="901"/>
      <c r="KN253" s="901"/>
      <c r="KO253" s="901"/>
      <c r="KP253" s="901"/>
      <c r="KQ253" s="901"/>
      <c r="KR253" s="901"/>
      <c r="KS253" s="901"/>
      <c r="KT253" s="901"/>
      <c r="KU253" s="901"/>
      <c r="KV253" s="901"/>
      <c r="KW253" s="901"/>
      <c r="KX253" s="901"/>
      <c r="KY253" s="901"/>
      <c r="KZ253" s="901"/>
      <c r="LA253" s="901"/>
      <c r="LB253" s="901"/>
      <c r="LC253" s="901"/>
      <c r="LD253" s="901"/>
      <c r="LE253" s="901"/>
      <c r="LF253" s="901"/>
      <c r="LG253" s="901"/>
      <c r="LH253" s="901"/>
      <c r="LI253" s="901"/>
      <c r="LJ253" s="901"/>
      <c r="LK253" s="901"/>
      <c r="LL253" s="901"/>
      <c r="LM253" s="901"/>
      <c r="LN253" s="901"/>
      <c r="LO253" s="901"/>
      <c r="LP253" s="901"/>
      <c r="LQ253" s="901"/>
      <c r="LR253" s="901"/>
      <c r="LS253" s="901"/>
      <c r="LT253" s="901"/>
      <c r="LU253" s="901"/>
      <c r="LV253" s="901"/>
      <c r="LW253" s="901"/>
      <c r="LX253" s="901"/>
      <c r="LY253" s="901"/>
      <c r="LZ253" s="901"/>
      <c r="MA253" s="901"/>
      <c r="MB253" s="901"/>
      <c r="MC253" s="901"/>
      <c r="MD253" s="901"/>
      <c r="ME253" s="901"/>
      <c r="MF253" s="901"/>
      <c r="MG253" s="901"/>
      <c r="MH253" s="901"/>
      <c r="MI253" s="901"/>
      <c r="MJ253" s="901"/>
      <c r="MK253" s="901"/>
      <c r="ML253" s="901"/>
      <c r="MM253" s="901"/>
      <c r="MN253" s="901"/>
      <c r="MO253" s="901"/>
      <c r="MP253" s="901"/>
      <c r="MQ253" s="901"/>
      <c r="MR253" s="901"/>
      <c r="MS253" s="901"/>
      <c r="MT253" s="901"/>
      <c r="MU253" s="901"/>
      <c r="MV253" s="901"/>
      <c r="MW253" s="901"/>
      <c r="MX253" s="901"/>
      <c r="MY253" s="901"/>
      <c r="MZ253" s="901"/>
      <c r="NA253" s="901"/>
      <c r="NB253" s="901"/>
      <c r="NC253" s="901"/>
      <c r="ND253" s="901"/>
      <c r="NE253" s="901"/>
      <c r="NF253" s="901"/>
      <c r="NG253" s="901"/>
      <c r="NH253" s="901"/>
      <c r="NI253" s="901"/>
      <c r="NJ253" s="901"/>
      <c r="NK253" s="901"/>
      <c r="NL253" s="901"/>
      <c r="NM253" s="901"/>
      <c r="NN253" s="901"/>
      <c r="NO253" s="901"/>
      <c r="NP253" s="901"/>
      <c r="NQ253" s="901"/>
      <c r="NR253" s="901"/>
      <c r="NS253" s="901"/>
      <c r="NT253" s="901"/>
      <c r="NU253" s="901"/>
      <c r="NV253" s="901"/>
      <c r="NW253" s="901"/>
      <c r="NX253" s="901"/>
      <c r="NY253" s="901"/>
      <c r="NZ253" s="901"/>
      <c r="OA253" s="901"/>
      <c r="OB253" s="901"/>
      <c r="OC253" s="901"/>
      <c r="OD253" s="901"/>
      <c r="OE253" s="901"/>
      <c r="OF253" s="901"/>
      <c r="OG253" s="901"/>
      <c r="OH253" s="901"/>
      <c r="OI253" s="901"/>
      <c r="OJ253" s="901"/>
      <c r="OK253" s="901"/>
      <c r="OL253" s="901"/>
      <c r="OM253" s="901"/>
      <c r="ON253" s="901"/>
      <c r="OO253" s="901"/>
      <c r="OP253" s="901"/>
      <c r="OQ253" s="901"/>
      <c r="OR253" s="901"/>
      <c r="OS253" s="901"/>
      <c r="OT253" s="901"/>
      <c r="OU253" s="901"/>
      <c r="OV253" s="901"/>
      <c r="OW253" s="901"/>
      <c r="OX253" s="901"/>
      <c r="OY253" s="901"/>
      <c r="OZ253" s="901"/>
      <c r="PA253" s="901"/>
      <c r="PB253" s="901"/>
      <c r="PC253" s="901"/>
      <c r="PD253" s="901"/>
      <c r="PE253" s="901"/>
      <c r="PF253" s="901"/>
      <c r="PG253" s="901"/>
      <c r="PH253" s="901"/>
      <c r="PI253" s="901"/>
      <c r="PJ253" s="901"/>
      <c r="PK253" s="901"/>
      <c r="PL253" s="901"/>
      <c r="PM253" s="901"/>
      <c r="PN253" s="901"/>
      <c r="PO253" s="901"/>
      <c r="PP253" s="901"/>
      <c r="PQ253" s="901"/>
      <c r="PR253" s="901"/>
      <c r="PS253" s="901"/>
      <c r="PT253" s="901"/>
      <c r="PU253" s="901"/>
      <c r="PV253" s="901"/>
      <c r="PW253" s="901"/>
      <c r="PX253" s="901"/>
      <c r="PY253" s="901"/>
      <c r="PZ253" s="901"/>
      <c r="QA253" s="901"/>
      <c r="QB253" s="901"/>
      <c r="QC253" s="901"/>
      <c r="QD253" s="901"/>
      <c r="QE253" s="901"/>
      <c r="QF253" s="901"/>
      <c r="QG253" s="901"/>
      <c r="QH253" s="901"/>
      <c r="QI253" s="901"/>
      <c r="QJ253" s="901"/>
      <c r="QK253" s="901"/>
      <c r="QL253" s="901"/>
      <c r="QM253" s="901"/>
      <c r="QN253" s="901"/>
      <c r="QO253" s="901"/>
      <c r="QP253" s="901"/>
      <c r="QQ253" s="901"/>
      <c r="QR253" s="901"/>
      <c r="QS253" s="901"/>
      <c r="QT253" s="901"/>
      <c r="QU253" s="901"/>
      <c r="QV253" s="901"/>
      <c r="QW253" s="901"/>
      <c r="QX253" s="901"/>
      <c r="QY253" s="901"/>
      <c r="QZ253" s="901"/>
      <c r="RA253" s="901"/>
      <c r="RB253" s="901"/>
      <c r="RC253" s="901"/>
      <c r="RD253" s="901"/>
      <c r="RE253" s="901"/>
      <c r="RF253" s="901"/>
      <c r="RG253" s="901"/>
      <c r="RH253" s="901"/>
      <c r="RI253" s="901"/>
      <c r="RJ253" s="901"/>
      <c r="RK253" s="901"/>
      <c r="RL253" s="901"/>
      <c r="RM253" s="901"/>
      <c r="RN253" s="901"/>
      <c r="RO253" s="901"/>
      <c r="RP253" s="901"/>
      <c r="RQ253" s="901"/>
      <c r="RR253" s="901"/>
      <c r="RS253" s="901"/>
      <c r="RT253" s="901"/>
      <c r="RU253" s="901"/>
      <c r="RV253" s="901"/>
      <c r="RW253" s="901"/>
      <c r="RX253" s="901"/>
      <c r="RY253" s="901"/>
      <c r="RZ253" s="901"/>
      <c r="SA253" s="901"/>
      <c r="SB253" s="901"/>
      <c r="SC253" s="901"/>
      <c r="SD253" s="901"/>
      <c r="SE253" s="901"/>
      <c r="SF253" s="901"/>
      <c r="SG253" s="901"/>
      <c r="SH253" s="901"/>
      <c r="SI253" s="901"/>
      <c r="SJ253" s="901"/>
      <c r="SK253" s="901"/>
      <c r="SL253" s="901"/>
      <c r="SM253" s="901"/>
      <c r="SN253" s="901"/>
      <c r="SO253" s="901"/>
      <c r="SP253" s="901"/>
      <c r="SQ253" s="901"/>
      <c r="SR253" s="901"/>
      <c r="SS253" s="901"/>
      <c r="ST253" s="901"/>
      <c r="SU253" s="901"/>
      <c r="SV253" s="901"/>
      <c r="SW253" s="901"/>
      <c r="SX253" s="901"/>
      <c r="SY253" s="901"/>
      <c r="SZ253" s="901"/>
      <c r="TA253" s="901"/>
      <c r="TB253" s="901"/>
      <c r="TC253" s="901"/>
      <c r="TD253" s="901"/>
      <c r="TE253" s="901"/>
      <c r="TF253" s="901"/>
      <c r="TG253" s="901"/>
      <c r="TH253" s="901"/>
      <c r="TI253" s="901"/>
      <c r="TJ253" s="901"/>
      <c r="TK253" s="901"/>
      <c r="TL253" s="901"/>
      <c r="TM253" s="901"/>
      <c r="TN253" s="901"/>
      <c r="TO253" s="901"/>
      <c r="TP253" s="901"/>
      <c r="TQ253" s="901"/>
      <c r="TR253" s="901"/>
      <c r="TS253" s="901"/>
      <c r="TT253" s="901"/>
      <c r="TU253" s="901"/>
      <c r="TV253" s="901"/>
      <c r="TW253" s="901"/>
      <c r="TX253" s="901"/>
      <c r="TY253" s="901"/>
      <c r="TZ253" s="901"/>
      <c r="UA253" s="901"/>
      <c r="UB253" s="901"/>
      <c r="UC253" s="901"/>
      <c r="UD253" s="901"/>
      <c r="UE253" s="901"/>
      <c r="UF253" s="901"/>
      <c r="UG253" s="901"/>
      <c r="UH253" s="901"/>
      <c r="UI253" s="901"/>
      <c r="UJ253" s="901"/>
      <c r="UK253" s="901"/>
      <c r="UL253" s="901"/>
      <c r="UM253" s="901"/>
      <c r="UN253" s="901"/>
      <c r="UO253" s="901"/>
      <c r="UP253" s="901"/>
      <c r="UQ253" s="901"/>
      <c r="UR253" s="901"/>
      <c r="US253" s="901"/>
      <c r="UT253" s="901"/>
      <c r="UU253" s="901"/>
      <c r="UV253" s="901"/>
      <c r="UW253" s="901"/>
      <c r="UX253" s="901"/>
      <c r="UY253" s="901"/>
      <c r="UZ253" s="901"/>
      <c r="VA253" s="901"/>
      <c r="VB253" s="901"/>
      <c r="VC253" s="901"/>
      <c r="VD253" s="901"/>
      <c r="VE253" s="901"/>
      <c r="VF253" s="901"/>
      <c r="VG253" s="901"/>
      <c r="VH253" s="901"/>
      <c r="VI253" s="901"/>
      <c r="VJ253" s="901"/>
      <c r="VK253" s="901"/>
      <c r="VL253" s="901"/>
      <c r="VM253" s="901"/>
      <c r="VN253" s="901"/>
      <c r="VO253" s="901"/>
      <c r="VP253" s="901"/>
      <c r="VQ253" s="901"/>
      <c r="VR253" s="901"/>
      <c r="VS253" s="901"/>
      <c r="VT253" s="901"/>
      <c r="VU253" s="901"/>
      <c r="VV253" s="901"/>
      <c r="VW253" s="901"/>
      <c r="VX253" s="901"/>
      <c r="VY253" s="901"/>
      <c r="VZ253" s="901"/>
      <c r="WA253" s="901"/>
      <c r="WB253" s="901"/>
      <c r="WC253" s="901"/>
      <c r="WD253" s="901"/>
      <c r="WE253" s="901"/>
      <c r="WF253" s="901"/>
      <c r="WG253" s="901"/>
      <c r="WH253" s="901"/>
      <c r="WI253" s="901"/>
      <c r="WJ253" s="901"/>
      <c r="WK253" s="901"/>
      <c r="WL253" s="901"/>
      <c r="WM253" s="901"/>
      <c r="WN253" s="901"/>
      <c r="WO253" s="901"/>
      <c r="WP253" s="901"/>
      <c r="WQ253" s="901"/>
      <c r="WR253" s="901"/>
      <c r="WS253" s="901"/>
      <c r="WT253" s="901"/>
      <c r="WU253" s="901"/>
      <c r="WV253" s="901"/>
      <c r="WW253" s="901"/>
      <c r="WX253" s="901"/>
      <c r="WY253" s="901"/>
      <c r="WZ253" s="901"/>
      <c r="XA253" s="901"/>
      <c r="XB253" s="901"/>
      <c r="XC253" s="901"/>
      <c r="XD253" s="901"/>
      <c r="XE253" s="901"/>
      <c r="XF253" s="901"/>
      <c r="XG253" s="901"/>
      <c r="XH253" s="901"/>
      <c r="XI253" s="901"/>
      <c r="XJ253" s="901"/>
      <c r="XK253" s="901"/>
      <c r="XL253" s="901"/>
      <c r="XM253" s="901"/>
      <c r="XN253" s="901"/>
      <c r="XO253" s="901"/>
      <c r="XP253" s="901"/>
      <c r="XQ253" s="901"/>
      <c r="XR253" s="901"/>
      <c r="XS253" s="901"/>
      <c r="XT253" s="901"/>
      <c r="XU253" s="901"/>
      <c r="XV253" s="901"/>
      <c r="XW253" s="901"/>
      <c r="XX253" s="901"/>
      <c r="XY253" s="901"/>
      <c r="XZ253" s="901"/>
      <c r="YA253" s="901"/>
      <c r="YB253" s="901"/>
      <c r="YC253" s="901"/>
      <c r="YD253" s="901"/>
      <c r="YE253" s="901"/>
      <c r="YF253" s="901"/>
      <c r="YG253" s="901"/>
      <c r="YH253" s="901"/>
      <c r="YI253" s="901"/>
      <c r="YJ253" s="901"/>
      <c r="YK253" s="901"/>
      <c r="YL253" s="901"/>
      <c r="YM253" s="901"/>
      <c r="YN253" s="901"/>
      <c r="YO253" s="901"/>
      <c r="YP253" s="901"/>
      <c r="YQ253" s="901"/>
      <c r="YR253" s="901"/>
      <c r="YS253" s="901"/>
      <c r="YT253" s="901"/>
      <c r="YU253" s="901"/>
      <c r="YV253" s="901"/>
      <c r="YW253" s="901"/>
      <c r="YX253" s="901"/>
      <c r="YY253" s="901"/>
      <c r="YZ253" s="901"/>
      <c r="ZA253" s="901"/>
      <c r="ZB253" s="901"/>
      <c r="ZC253" s="901"/>
      <c r="ZD253" s="901"/>
      <c r="ZE253" s="901"/>
      <c r="ZF253" s="901"/>
      <c r="ZG253" s="901"/>
      <c r="ZH253" s="901"/>
      <c r="ZI253" s="901"/>
      <c r="ZJ253" s="901"/>
      <c r="ZK253" s="901"/>
      <c r="ZL253" s="901"/>
      <c r="ZM253" s="901"/>
      <c r="ZN253" s="901"/>
      <c r="ZO253" s="901"/>
      <c r="ZP253" s="901"/>
      <c r="ZQ253" s="901"/>
      <c r="ZR253" s="901"/>
      <c r="ZS253" s="901"/>
      <c r="ZT253" s="901"/>
      <c r="ZU253" s="901"/>
      <c r="ZV253" s="901"/>
      <c r="ZW253" s="901"/>
      <c r="ZX253" s="901"/>
      <c r="ZY253" s="901"/>
      <c r="ZZ253" s="901"/>
      <c r="AAA253" s="901"/>
      <c r="AAB253" s="901"/>
      <c r="AAC253" s="901"/>
      <c r="AAD253" s="901"/>
      <c r="AAE253" s="901"/>
      <c r="AAF253" s="901"/>
      <c r="AAG253" s="901"/>
      <c r="AAH253" s="901"/>
      <c r="AAI253" s="901"/>
      <c r="AAJ253" s="901"/>
      <c r="AAK253" s="901"/>
      <c r="AAL253" s="901"/>
      <c r="AAM253" s="901"/>
      <c r="AAN253" s="901"/>
      <c r="AAO253" s="901"/>
      <c r="AAP253" s="901"/>
      <c r="AAQ253" s="901"/>
      <c r="AAR253" s="901"/>
      <c r="AAS253" s="901"/>
      <c r="AAT253" s="901"/>
      <c r="AAU253" s="901"/>
      <c r="AAV253" s="901"/>
      <c r="AAW253" s="901"/>
      <c r="AAX253" s="901"/>
      <c r="AAY253" s="901"/>
      <c r="AAZ253" s="901"/>
      <c r="ABA253" s="901"/>
      <c r="ABB253" s="901"/>
      <c r="ABC253" s="901"/>
      <c r="ABD253" s="901"/>
      <c r="ABE253" s="901"/>
      <c r="ABF253" s="901"/>
      <c r="ABG253" s="901"/>
      <c r="ABH253" s="901"/>
      <c r="ABI253" s="901"/>
      <c r="ABJ253" s="901"/>
      <c r="ABK253" s="901"/>
      <c r="ABL253" s="901"/>
      <c r="ABM253" s="901"/>
      <c r="ABN253" s="901"/>
      <c r="ABO253" s="901"/>
      <c r="ABP253" s="901"/>
      <c r="ABQ253" s="901"/>
      <c r="ABR253" s="901"/>
      <c r="ABS253" s="901"/>
      <c r="ABT253" s="901"/>
      <c r="ABU253" s="901"/>
      <c r="ABV253" s="901"/>
      <c r="ABW253" s="901"/>
      <c r="ABX253" s="901"/>
      <c r="ABY253" s="901"/>
      <c r="ABZ253" s="901"/>
      <c r="ACA253" s="901"/>
      <c r="ACB253" s="901"/>
      <c r="ACC253" s="901"/>
      <c r="ACD253" s="901"/>
      <c r="ACE253" s="901"/>
      <c r="ACF253" s="901"/>
      <c r="ACG253" s="901"/>
      <c r="ACH253" s="901"/>
      <c r="ACI253" s="901"/>
      <c r="ACJ253" s="901"/>
      <c r="ACK253" s="901"/>
      <c r="ACL253" s="901"/>
      <c r="ACM253" s="901"/>
      <c r="ACN253" s="901"/>
      <c r="ACO253" s="901"/>
      <c r="ACP253" s="901"/>
      <c r="ACQ253" s="901"/>
      <c r="ACR253" s="901"/>
      <c r="ACS253" s="901"/>
      <c r="ACT253" s="901"/>
      <c r="ACU253" s="901"/>
      <c r="ACV253" s="901"/>
      <c r="ACW253" s="901"/>
      <c r="ACX253" s="901"/>
      <c r="ACY253" s="901"/>
      <c r="ACZ253" s="901"/>
      <c r="ADA253" s="901"/>
      <c r="ADB253" s="901"/>
      <c r="ADC253" s="901"/>
      <c r="ADD253" s="901"/>
      <c r="ADE253" s="901"/>
      <c r="ADF253" s="901"/>
      <c r="ADG253" s="901"/>
      <c r="ADH253" s="901"/>
      <c r="ADI253" s="901"/>
      <c r="ADJ253" s="901"/>
      <c r="ADK253" s="901"/>
      <c r="ADL253" s="901"/>
      <c r="ADM253" s="901"/>
      <c r="ADN253" s="901"/>
      <c r="ADO253" s="901"/>
      <c r="ADP253" s="901"/>
      <c r="ADQ253" s="901"/>
      <c r="ADR253" s="901"/>
      <c r="ADS253" s="901"/>
      <c r="ADT253" s="901"/>
      <c r="ADU253" s="901"/>
      <c r="ADV253" s="901"/>
      <c r="ADW253" s="901"/>
      <c r="ADX253" s="901"/>
      <c r="ADY253" s="901"/>
      <c r="ADZ253" s="901"/>
      <c r="AEA253" s="901"/>
      <c r="AEB253" s="901"/>
      <c r="AEC253" s="901"/>
      <c r="AED253" s="901"/>
      <c r="AEE253" s="901"/>
      <c r="AEF253" s="901"/>
      <c r="AEG253" s="901"/>
      <c r="AEH253" s="901"/>
      <c r="AEI253" s="901"/>
      <c r="AEJ253" s="901"/>
      <c r="AEK253" s="901"/>
      <c r="AEL253" s="901"/>
      <c r="AEM253" s="901"/>
      <c r="AEN253" s="901"/>
      <c r="AEO253" s="901"/>
      <c r="AEP253" s="901"/>
      <c r="AEQ253" s="901"/>
      <c r="AER253" s="901"/>
      <c r="AES253" s="901"/>
      <c r="AET253" s="901"/>
      <c r="AEU253" s="901"/>
      <c r="AEV253" s="901"/>
      <c r="AEW253" s="901"/>
      <c r="AEX253" s="901"/>
      <c r="AEY253" s="901"/>
      <c r="AEZ253" s="901"/>
      <c r="AFA253" s="901"/>
      <c r="AFB253" s="901"/>
      <c r="AFC253" s="901"/>
      <c r="AFD253" s="901"/>
      <c r="AFE253" s="901"/>
      <c r="AFF253" s="901"/>
      <c r="AFG253" s="901"/>
      <c r="AFH253" s="901"/>
      <c r="AFI253" s="901"/>
      <c r="AFJ253" s="901"/>
      <c r="AFK253" s="901"/>
      <c r="AFL253" s="901"/>
      <c r="AFM253" s="901"/>
      <c r="AFN253" s="901"/>
      <c r="AFO253" s="901"/>
      <c r="AFP253" s="901"/>
      <c r="AFQ253" s="901"/>
      <c r="AFR253" s="901"/>
      <c r="AFS253" s="901"/>
      <c r="AFT253" s="901"/>
      <c r="AFU253" s="901"/>
      <c r="AFV253" s="901"/>
      <c r="AFW253" s="901"/>
      <c r="AFX253" s="901"/>
      <c r="AFY253" s="901"/>
      <c r="AFZ253" s="901"/>
      <c r="AGA253" s="901"/>
      <c r="AGB253" s="901"/>
      <c r="AGC253" s="901"/>
      <c r="AGD253" s="901"/>
      <c r="AGE253" s="901"/>
      <c r="AGF253" s="901"/>
      <c r="AGG253" s="901"/>
      <c r="AGH253" s="901"/>
      <c r="AGI253" s="901"/>
      <c r="AGJ253" s="901"/>
      <c r="AGK253" s="901"/>
      <c r="AGL253" s="901"/>
      <c r="AGM253" s="901"/>
      <c r="AGN253" s="901"/>
      <c r="AGO253" s="901"/>
      <c r="AGP253" s="901"/>
      <c r="AGQ253" s="901"/>
      <c r="AGR253" s="901"/>
      <c r="AGS253" s="901"/>
      <c r="AGT253" s="901"/>
      <c r="AGU253" s="901"/>
      <c r="AGV253" s="901"/>
      <c r="AGW253" s="901"/>
      <c r="AGX253" s="901"/>
      <c r="AGY253" s="901"/>
      <c r="AGZ253" s="901"/>
      <c r="AHA253" s="901"/>
      <c r="AHB253" s="901"/>
      <c r="AHC253" s="901"/>
      <c r="AHD253" s="901"/>
      <c r="AHE253" s="901"/>
      <c r="AHF253" s="901"/>
      <c r="AHG253" s="901"/>
      <c r="AHH253" s="901"/>
      <c r="AHI253" s="901"/>
      <c r="AHJ253" s="901"/>
      <c r="AHK253" s="901"/>
      <c r="AHL253" s="901"/>
      <c r="AHM253" s="901"/>
      <c r="AHN253" s="901"/>
      <c r="AHO253" s="901"/>
      <c r="AHP253" s="901"/>
      <c r="AHQ253" s="901"/>
      <c r="AHR253" s="901"/>
      <c r="AHS253" s="901"/>
      <c r="AHT253" s="901"/>
      <c r="AHU253" s="901"/>
      <c r="AHV253" s="901"/>
      <c r="AHW253" s="901"/>
      <c r="AHX253" s="901"/>
      <c r="AHY253" s="901"/>
      <c r="AHZ253" s="901"/>
      <c r="AIA253" s="901"/>
      <c r="AIB253" s="901"/>
      <c r="AIC253" s="901"/>
      <c r="AID253" s="901"/>
      <c r="AIE253" s="901"/>
      <c r="AIF253" s="901"/>
      <c r="AIG253" s="901"/>
      <c r="AIH253" s="901"/>
      <c r="AII253" s="901"/>
      <c r="AIJ253" s="901"/>
      <c r="AIK253" s="901"/>
      <c r="AIL253" s="901"/>
      <c r="AIM253" s="901"/>
      <c r="AIN253" s="901"/>
      <c r="AIO253" s="901"/>
      <c r="AIP253" s="901"/>
      <c r="AIQ253" s="901"/>
      <c r="AIR253" s="901"/>
      <c r="AIS253" s="901"/>
      <c r="AIT253" s="901"/>
      <c r="AIU253" s="901"/>
      <c r="AIV253" s="901"/>
      <c r="AIW253" s="901"/>
      <c r="AIX253" s="901"/>
      <c r="AIY253" s="901"/>
      <c r="AIZ253" s="901"/>
      <c r="AJA253" s="901"/>
      <c r="AJB253" s="901"/>
      <c r="AJC253" s="901"/>
      <c r="AJD253" s="901"/>
      <c r="AJE253" s="901"/>
      <c r="AJF253" s="901"/>
      <c r="AJG253" s="901"/>
      <c r="AJH253" s="901"/>
      <c r="AJI253" s="901"/>
      <c r="AJJ253" s="901"/>
      <c r="AJK253" s="901"/>
      <c r="AJL253" s="901"/>
      <c r="AJM253" s="901"/>
      <c r="AJN253" s="901"/>
      <c r="AJO253" s="901"/>
      <c r="AJP253" s="901"/>
      <c r="AJQ253" s="901"/>
      <c r="AJR253" s="901"/>
      <c r="AJS253" s="901"/>
      <c r="AJT253" s="901"/>
      <c r="AJU253" s="901"/>
      <c r="AJV253" s="901"/>
      <c r="AJW253" s="901"/>
      <c r="AJX253" s="901"/>
      <c r="AJY253" s="901"/>
      <c r="AJZ253" s="901"/>
      <c r="AKA253" s="901"/>
      <c r="AKB253" s="901"/>
      <c r="AKC253" s="901"/>
      <c r="AKD253" s="901"/>
      <c r="AKE253" s="901"/>
      <c r="AKF253" s="901"/>
      <c r="AKG253" s="901"/>
      <c r="AKH253" s="901"/>
      <c r="AKI253" s="901"/>
      <c r="AKJ253" s="901"/>
      <c r="AKK253" s="901"/>
      <c r="AKL253" s="901"/>
      <c r="AKM253" s="901"/>
      <c r="AKN253" s="901"/>
      <c r="AKO253" s="901"/>
      <c r="AKP253" s="901"/>
      <c r="AKQ253" s="901"/>
      <c r="AKR253" s="901"/>
      <c r="AKS253" s="901"/>
      <c r="AKT253" s="901"/>
      <c r="AKU253" s="901"/>
      <c r="AKV253" s="901"/>
      <c r="AKW253" s="901"/>
      <c r="AKX253" s="901"/>
      <c r="AKY253" s="901"/>
      <c r="AKZ253" s="901"/>
      <c r="ALA253" s="901"/>
      <c r="ALB253" s="901"/>
      <c r="ALC253" s="901"/>
      <c r="ALD253" s="901"/>
      <c r="ALE253" s="901"/>
      <c r="ALF253" s="901"/>
      <c r="ALG253" s="901"/>
      <c r="ALH253" s="901"/>
      <c r="ALI253" s="901"/>
      <c r="ALJ253" s="901"/>
      <c r="ALK253" s="901"/>
      <c r="ALL253" s="901"/>
      <c r="ALM253" s="901"/>
      <c r="ALN253" s="901"/>
      <c r="ALO253" s="901"/>
      <c r="ALP253" s="901"/>
      <c r="ALQ253" s="901"/>
      <c r="ALR253" s="901"/>
      <c r="ALS253" s="901"/>
      <c r="ALT253" s="901"/>
      <c r="ALU253" s="901"/>
      <c r="ALV253" s="901"/>
      <c r="ALW253" s="901"/>
      <c r="ALX253" s="901"/>
      <c r="ALY253" s="901"/>
      <c r="ALZ253" s="901"/>
      <c r="AMA253" s="901"/>
      <c r="AMB253" s="901"/>
      <c r="AMC253" s="901"/>
      <c r="AMD253" s="901"/>
      <c r="AME253" s="901"/>
      <c r="AMF253" s="901"/>
      <c r="AMG253" s="901"/>
      <c r="AMH253" s="901"/>
      <c r="AMI253" s="901"/>
      <c r="AMJ253" s="901"/>
      <c r="AMK253" s="901"/>
      <c r="AML253" s="901"/>
    </row>
    <row r="254" spans="1:1026">
      <c r="A254" s="144"/>
      <c r="B254" s="680"/>
      <c r="C254" s="680"/>
      <c r="D254" s="680"/>
      <c r="E254" s="676"/>
      <c r="F254" s="680"/>
      <c r="G254" s="145"/>
      <c r="H254" s="146" t="s">
        <v>267</v>
      </c>
      <c r="I254" s="495">
        <f t="shared" ref="I254:P254" si="99">SUM(I247:I253)</f>
        <v>33900</v>
      </c>
      <c r="J254" s="496">
        <f t="shared" si="99"/>
        <v>31951.11</v>
      </c>
      <c r="K254" s="495">
        <f t="shared" si="99"/>
        <v>48400</v>
      </c>
      <c r="L254" s="496">
        <f t="shared" si="99"/>
        <v>23656.05</v>
      </c>
      <c r="M254" s="495">
        <f t="shared" si="99"/>
        <v>38400</v>
      </c>
      <c r="N254" s="496">
        <f t="shared" si="99"/>
        <v>35036.17</v>
      </c>
      <c r="O254" s="497">
        <f t="shared" si="99"/>
        <v>39400</v>
      </c>
      <c r="P254" s="496">
        <f t="shared" si="99"/>
        <v>13673.160000000002</v>
      </c>
      <c r="Q254" s="497">
        <v>33550</v>
      </c>
      <c r="R254" s="496">
        <f>SUM(R247:R253)</f>
        <v>18465.87</v>
      </c>
      <c r="S254" s="499">
        <f>SUM(S247:S253)</f>
        <v>39000</v>
      </c>
      <c r="T254" s="499">
        <f>SUM(T247:T253)</f>
        <v>39000</v>
      </c>
      <c r="U254" s="499"/>
      <c r="V254" s="499">
        <f>SUM(V247:V253)</f>
        <v>39660</v>
      </c>
      <c r="W254" s="500">
        <f>SUM(W247:W253)</f>
        <v>-21564.43</v>
      </c>
      <c r="X254" s="501">
        <f>SUM(X247:X253)</f>
        <v>40520</v>
      </c>
      <c r="Y254" s="502">
        <v>-11551</v>
      </c>
      <c r="Z254" s="501">
        <f>SUM(Z247:Z253)</f>
        <v>41120</v>
      </c>
      <c r="AA254" s="501">
        <f>SUM(AA247:AA253)</f>
        <v>-34950.879999999997</v>
      </c>
      <c r="AB254" s="501">
        <f>SUM(AB247:AB253)</f>
        <v>45920</v>
      </c>
      <c r="AC254" s="509">
        <v>-34950.879999999997</v>
      </c>
      <c r="AD254" s="501">
        <f>SUM(AD247:AD253)</f>
        <v>47420</v>
      </c>
      <c r="AE254" s="501">
        <f t="shared" ref="AE254" si="100">SUM(AE247:AE253)</f>
        <v>-45132.26</v>
      </c>
      <c r="AF254" s="501">
        <f>SUM(AF247:AF253)</f>
        <v>50936</v>
      </c>
      <c r="AG254" s="501">
        <f t="shared" ref="AG254" si="101">SUM(AG247:AG253)</f>
        <v>-19418.120000000003</v>
      </c>
      <c r="AH254" s="501">
        <f>SUM(AH247:AH253)</f>
        <v>50936</v>
      </c>
      <c r="AI254" s="501">
        <f>SUM(AI247:AI253)</f>
        <v>59136</v>
      </c>
      <c r="AJ254" s="501">
        <f>SUM(AJ247:AJ253)</f>
        <v>59136</v>
      </c>
      <c r="AK254" s="702"/>
      <c r="AM254" s="106"/>
      <c r="AN254" s="106"/>
    </row>
    <row r="255" spans="1:1026">
      <c r="A255" s="80"/>
      <c r="B255" s="14"/>
      <c r="C255" s="14"/>
      <c r="D255" s="14"/>
      <c r="E255" s="15"/>
      <c r="F255" s="14"/>
      <c r="G255" s="81"/>
      <c r="H255" s="251"/>
      <c r="I255" s="396"/>
      <c r="J255" s="321"/>
      <c r="K255" s="320"/>
      <c r="L255" s="321"/>
      <c r="M255" s="320"/>
      <c r="N255" s="321"/>
      <c r="O255" s="322"/>
      <c r="P255" s="323"/>
      <c r="Q255" s="322"/>
      <c r="R255" s="323"/>
      <c r="S255" s="324"/>
      <c r="T255" s="324"/>
      <c r="U255" s="324"/>
      <c r="V255" s="324"/>
      <c r="W255" s="325"/>
      <c r="X255" s="326"/>
      <c r="Y255" s="116"/>
      <c r="Z255" s="117"/>
      <c r="AA255" s="118"/>
      <c r="AB255" s="117"/>
      <c r="AC255" s="118"/>
      <c r="AD255" s="117"/>
      <c r="AE255" s="118"/>
      <c r="AF255" s="117"/>
      <c r="AG255" s="745"/>
      <c r="AH255" s="117"/>
      <c r="AI255" s="117"/>
      <c r="AJ255" s="117"/>
      <c r="AK255" s="706"/>
      <c r="AM255" s="106"/>
      <c r="AN255" s="106"/>
    </row>
    <row r="256" spans="1:1026">
      <c r="A256" s="66">
        <v>5</v>
      </c>
      <c r="B256" s="67" t="s">
        <v>16</v>
      </c>
      <c r="C256" s="67">
        <v>4</v>
      </c>
      <c r="D256" s="67" t="s">
        <v>16</v>
      </c>
      <c r="E256" s="68" t="s">
        <v>86</v>
      </c>
      <c r="F256" s="67" t="s">
        <v>16</v>
      </c>
      <c r="G256" s="69" t="s">
        <v>70</v>
      </c>
      <c r="H256" s="238" t="s">
        <v>268</v>
      </c>
      <c r="I256" s="550">
        <v>500</v>
      </c>
      <c r="J256" s="204">
        <v>0</v>
      </c>
      <c r="K256" s="203">
        <v>500</v>
      </c>
      <c r="L256" s="204">
        <v>0</v>
      </c>
      <c r="M256" s="203">
        <v>0</v>
      </c>
      <c r="N256" s="204">
        <v>0</v>
      </c>
      <c r="O256" s="205">
        <v>0</v>
      </c>
      <c r="P256" s="206">
        <v>0</v>
      </c>
      <c r="Q256" s="205">
        <v>0</v>
      </c>
      <c r="R256" s="206">
        <v>0</v>
      </c>
      <c r="S256" s="207">
        <v>0</v>
      </c>
      <c r="T256" s="207">
        <v>0</v>
      </c>
      <c r="U256" s="207"/>
      <c r="V256" s="207">
        <v>0</v>
      </c>
      <c r="W256" s="208">
        <v>0</v>
      </c>
      <c r="X256" s="209">
        <v>0</v>
      </c>
      <c r="Y256" s="210">
        <v>0</v>
      </c>
      <c r="Z256" s="454">
        <v>0</v>
      </c>
      <c r="AA256" s="366">
        <v>0</v>
      </c>
      <c r="AB256" s="454">
        <v>0</v>
      </c>
      <c r="AC256" s="366">
        <v>0</v>
      </c>
      <c r="AD256" s="454">
        <v>0</v>
      </c>
      <c r="AE256" s="366"/>
      <c r="AF256" s="454">
        <v>0</v>
      </c>
      <c r="AG256" s="774"/>
      <c r="AH256" s="454">
        <v>0</v>
      </c>
      <c r="AI256" s="454">
        <v>0</v>
      </c>
      <c r="AJ256" s="454">
        <v>0</v>
      </c>
      <c r="AK256" s="710"/>
      <c r="AM256" s="106"/>
      <c r="AN256" s="106"/>
    </row>
    <row r="257" spans="1:1026">
      <c r="A257" s="80"/>
      <c r="B257" s="14"/>
      <c r="C257" s="14"/>
      <c r="D257" s="14"/>
      <c r="E257" s="15"/>
      <c r="F257" s="14"/>
      <c r="G257" s="81"/>
      <c r="H257" s="250"/>
      <c r="I257" s="463"/>
      <c r="J257" s="413"/>
      <c r="K257" s="412"/>
      <c r="L257" s="413"/>
      <c r="M257" s="412"/>
      <c r="N257" s="413"/>
      <c r="O257" s="464"/>
      <c r="P257" s="551"/>
      <c r="Q257" s="464"/>
      <c r="R257" s="551"/>
      <c r="S257" s="465"/>
      <c r="T257" s="465"/>
      <c r="U257" s="465"/>
      <c r="V257" s="465"/>
      <c r="W257" s="466"/>
      <c r="X257" s="467"/>
      <c r="Y257" s="218"/>
      <c r="Z257" s="219"/>
      <c r="AA257" s="220"/>
      <c r="AB257" s="219"/>
      <c r="AC257" s="220"/>
      <c r="AD257" s="219"/>
      <c r="AE257" s="220"/>
      <c r="AF257" s="219"/>
      <c r="AG257" s="750"/>
      <c r="AH257" s="219"/>
      <c r="AI257" s="219"/>
      <c r="AJ257" s="219"/>
      <c r="AK257" s="707"/>
      <c r="AM257" s="106"/>
      <c r="AN257" s="106"/>
    </row>
    <row r="258" spans="1:1026">
      <c r="A258" s="532">
        <v>5</v>
      </c>
      <c r="B258" s="67" t="s">
        <v>16</v>
      </c>
      <c r="C258" s="533">
        <v>4</v>
      </c>
      <c r="D258" s="67" t="s">
        <v>16</v>
      </c>
      <c r="E258" s="552" t="s">
        <v>90</v>
      </c>
      <c r="F258" s="67" t="s">
        <v>16</v>
      </c>
      <c r="G258" s="553" t="s">
        <v>70</v>
      </c>
      <c r="H258" s="238" t="s">
        <v>269</v>
      </c>
      <c r="I258" s="239"/>
      <c r="J258" s="168"/>
      <c r="K258" s="167"/>
      <c r="L258" s="168"/>
      <c r="M258" s="167"/>
      <c r="N258" s="168"/>
      <c r="O258" s="554"/>
      <c r="P258" s="168"/>
      <c r="Q258" s="554"/>
      <c r="R258" s="168"/>
      <c r="S258" s="171"/>
      <c r="T258" s="171"/>
      <c r="U258" s="171"/>
      <c r="V258" s="171"/>
      <c r="W258" s="172"/>
      <c r="X258" s="173"/>
      <c r="Y258" s="174"/>
      <c r="Z258" s="175"/>
      <c r="AA258" s="176"/>
      <c r="AB258" s="175"/>
      <c r="AC258" s="176"/>
      <c r="AD258" s="175"/>
      <c r="AE258" s="176"/>
      <c r="AF258" s="175"/>
      <c r="AG258" s="749"/>
      <c r="AH258" s="175"/>
      <c r="AI258" s="175"/>
      <c r="AJ258" s="175"/>
      <c r="AK258" s="710"/>
      <c r="AM258" s="106"/>
      <c r="AN258" s="106"/>
    </row>
    <row r="259" spans="1:1026" s="902" customFormat="1" ht="30">
      <c r="A259" s="882">
        <v>5</v>
      </c>
      <c r="B259" s="883" t="s">
        <v>16</v>
      </c>
      <c r="C259" s="883">
        <v>4</v>
      </c>
      <c r="D259" s="883" t="s">
        <v>16</v>
      </c>
      <c r="E259" s="884" t="s">
        <v>90</v>
      </c>
      <c r="F259" s="883" t="s">
        <v>16</v>
      </c>
      <c r="G259" s="885" t="s">
        <v>81</v>
      </c>
      <c r="H259" s="913" t="s">
        <v>270</v>
      </c>
      <c r="I259" s="914">
        <v>4500</v>
      </c>
      <c r="J259" s="915">
        <v>5886.26</v>
      </c>
      <c r="K259" s="916">
        <f>ROUNDUP(((K252*450/650)+(K253*390/450))*0.2915,-2)</f>
        <v>6800</v>
      </c>
      <c r="L259" s="915">
        <v>5703.74</v>
      </c>
      <c r="M259" s="916">
        <f>ROUNDUP(((M252*450/650)+(M253*390/450))*0.2915,-2)</f>
        <v>6800</v>
      </c>
      <c r="N259" s="915">
        <v>5961.81</v>
      </c>
      <c r="O259" s="917">
        <f>ROUNDUP(((O252*450/650)+(O253*390/450))*0.2915,-2)</f>
        <v>6800</v>
      </c>
      <c r="P259" s="915">
        <v>2133.94</v>
      </c>
      <c r="Q259" s="917">
        <v>6800</v>
      </c>
      <c r="R259" s="915">
        <v>2945.59</v>
      </c>
      <c r="S259" s="918">
        <f>ROUNDUP(((S252*450/650)+(S253*390/450))*0.2915,-2)</f>
        <v>7000</v>
      </c>
      <c r="T259" s="918">
        <f>ROUNDUP(((T252*450/650)+(T253*390/450))*0.2915,-2)</f>
        <v>7000</v>
      </c>
      <c r="U259" s="918">
        <v>-2623.55</v>
      </c>
      <c r="V259" s="919">
        <f>ROUNDUP(((V252*450/650)+(V253*390/450))*0.2915,-2)</f>
        <v>7200</v>
      </c>
      <c r="W259" s="920">
        <v>-3560.71</v>
      </c>
      <c r="X259" s="921">
        <v>6000</v>
      </c>
      <c r="Y259" s="922">
        <v>-2009.19</v>
      </c>
      <c r="Z259" s="921">
        <v>6000</v>
      </c>
      <c r="AA259" s="923">
        <v>-6430.09</v>
      </c>
      <c r="AB259" s="921">
        <v>6000</v>
      </c>
      <c r="AC259" s="923">
        <v>-6430.09</v>
      </c>
      <c r="AD259" s="921">
        <v>7000</v>
      </c>
      <c r="AE259" s="923">
        <v>-7911.44</v>
      </c>
      <c r="AF259" s="921">
        <v>7000</v>
      </c>
      <c r="AG259" s="924">
        <v>-3381.84</v>
      </c>
      <c r="AH259" s="921">
        <v>7000</v>
      </c>
      <c r="AI259" s="921">
        <f>8000+500</f>
        <v>8500</v>
      </c>
      <c r="AJ259" s="921">
        <v>8500</v>
      </c>
      <c r="AK259" s="925" t="s">
        <v>182</v>
      </c>
      <c r="AL259" s="899"/>
      <c r="AM259" s="900"/>
      <c r="AN259" s="900"/>
      <c r="AO259" s="901"/>
      <c r="AP259" s="901"/>
      <c r="AQ259" s="901"/>
      <c r="AR259" s="901"/>
      <c r="AS259" s="901"/>
      <c r="AT259" s="901"/>
      <c r="AU259" s="901"/>
      <c r="AV259" s="901"/>
      <c r="AW259" s="901"/>
      <c r="AX259" s="901"/>
      <c r="AY259" s="901"/>
      <c r="AZ259" s="901"/>
      <c r="BA259" s="901"/>
      <c r="BB259" s="901"/>
      <c r="BC259" s="901"/>
      <c r="BD259" s="901"/>
      <c r="BE259" s="901"/>
      <c r="BF259" s="901"/>
      <c r="BG259" s="901"/>
      <c r="BH259" s="901"/>
      <c r="BI259" s="901"/>
      <c r="BJ259" s="901"/>
      <c r="BK259" s="901"/>
      <c r="BL259" s="901"/>
      <c r="BM259" s="901"/>
      <c r="BN259" s="901"/>
      <c r="BO259" s="901"/>
      <c r="BP259" s="901"/>
      <c r="BQ259" s="901"/>
      <c r="BR259" s="901"/>
      <c r="BS259" s="901"/>
      <c r="BT259" s="901"/>
      <c r="BU259" s="901"/>
      <c r="BV259" s="901"/>
      <c r="BW259" s="901"/>
      <c r="BX259" s="901"/>
      <c r="BY259" s="901"/>
      <c r="BZ259" s="901"/>
      <c r="CA259" s="901"/>
      <c r="CB259" s="901"/>
      <c r="CC259" s="901"/>
      <c r="CD259" s="901"/>
      <c r="CE259" s="901"/>
      <c r="CF259" s="901"/>
      <c r="CG259" s="901"/>
      <c r="CH259" s="901"/>
      <c r="CI259" s="901"/>
      <c r="CJ259" s="901"/>
      <c r="CK259" s="901"/>
      <c r="CL259" s="901"/>
      <c r="CM259" s="901"/>
      <c r="CN259" s="901"/>
      <c r="CO259" s="901"/>
      <c r="CP259" s="901"/>
      <c r="CQ259" s="901"/>
      <c r="CR259" s="901"/>
      <c r="CS259" s="901"/>
      <c r="CT259" s="901"/>
      <c r="CU259" s="901"/>
      <c r="CV259" s="901"/>
      <c r="CW259" s="901"/>
      <c r="CX259" s="901"/>
      <c r="CY259" s="901"/>
      <c r="CZ259" s="901"/>
      <c r="DA259" s="901"/>
      <c r="DB259" s="901"/>
      <c r="DC259" s="901"/>
      <c r="DD259" s="901"/>
      <c r="DE259" s="901"/>
      <c r="DF259" s="901"/>
      <c r="DG259" s="901"/>
      <c r="DH259" s="901"/>
      <c r="DI259" s="901"/>
      <c r="DJ259" s="901"/>
      <c r="DK259" s="901"/>
      <c r="DL259" s="901"/>
      <c r="DM259" s="901"/>
      <c r="DN259" s="901"/>
      <c r="DO259" s="901"/>
      <c r="DP259" s="901"/>
      <c r="DQ259" s="901"/>
      <c r="DR259" s="901"/>
      <c r="DS259" s="901"/>
      <c r="DT259" s="901"/>
      <c r="DU259" s="901"/>
      <c r="DV259" s="901"/>
      <c r="DW259" s="901"/>
      <c r="DX259" s="901"/>
      <c r="DY259" s="901"/>
      <c r="DZ259" s="901"/>
      <c r="EA259" s="901"/>
      <c r="EB259" s="901"/>
      <c r="EC259" s="901"/>
      <c r="ED259" s="901"/>
      <c r="EE259" s="901"/>
      <c r="EF259" s="901"/>
      <c r="EG259" s="901"/>
      <c r="EH259" s="901"/>
      <c r="EI259" s="901"/>
      <c r="EJ259" s="901"/>
      <c r="EK259" s="901"/>
      <c r="EL259" s="901"/>
      <c r="EM259" s="901"/>
      <c r="EN259" s="901"/>
      <c r="EO259" s="901"/>
      <c r="EP259" s="901"/>
      <c r="EQ259" s="901"/>
      <c r="ER259" s="901"/>
      <c r="ES259" s="901"/>
      <c r="ET259" s="901"/>
      <c r="EU259" s="901"/>
      <c r="EV259" s="901"/>
      <c r="EW259" s="901"/>
      <c r="EX259" s="901"/>
      <c r="EY259" s="901"/>
      <c r="EZ259" s="901"/>
      <c r="FA259" s="901"/>
      <c r="FB259" s="901"/>
      <c r="FC259" s="901"/>
      <c r="FD259" s="901"/>
      <c r="FE259" s="901"/>
      <c r="FF259" s="901"/>
      <c r="FG259" s="901"/>
      <c r="FH259" s="901"/>
      <c r="FI259" s="901"/>
      <c r="FJ259" s="901"/>
      <c r="FK259" s="901"/>
      <c r="FL259" s="901"/>
      <c r="FM259" s="901"/>
      <c r="FN259" s="901"/>
      <c r="FO259" s="901"/>
      <c r="FP259" s="901"/>
      <c r="FQ259" s="901"/>
      <c r="FR259" s="901"/>
      <c r="FS259" s="901"/>
      <c r="FT259" s="901"/>
      <c r="FU259" s="901"/>
      <c r="FV259" s="901"/>
      <c r="FW259" s="901"/>
      <c r="FX259" s="901"/>
      <c r="FY259" s="901"/>
      <c r="FZ259" s="901"/>
      <c r="GA259" s="901"/>
      <c r="GB259" s="901"/>
      <c r="GC259" s="901"/>
      <c r="GD259" s="901"/>
      <c r="GE259" s="901"/>
      <c r="GF259" s="901"/>
      <c r="GG259" s="901"/>
      <c r="GH259" s="901"/>
      <c r="GI259" s="901"/>
      <c r="GJ259" s="901"/>
      <c r="GK259" s="901"/>
      <c r="GL259" s="901"/>
      <c r="GM259" s="901"/>
      <c r="GN259" s="901"/>
      <c r="GO259" s="901"/>
      <c r="GP259" s="901"/>
      <c r="GQ259" s="901"/>
      <c r="GR259" s="901"/>
      <c r="GS259" s="901"/>
      <c r="GT259" s="901"/>
      <c r="GU259" s="901"/>
      <c r="GV259" s="901"/>
      <c r="GW259" s="901"/>
      <c r="GX259" s="901"/>
      <c r="GY259" s="901"/>
      <c r="GZ259" s="901"/>
      <c r="HA259" s="901"/>
      <c r="HB259" s="901"/>
      <c r="HC259" s="901"/>
      <c r="HD259" s="901"/>
      <c r="HE259" s="901"/>
      <c r="HF259" s="901"/>
      <c r="HG259" s="901"/>
      <c r="HH259" s="901"/>
      <c r="HI259" s="901"/>
      <c r="HJ259" s="901"/>
      <c r="HK259" s="901"/>
      <c r="HL259" s="901"/>
      <c r="HM259" s="901"/>
      <c r="HN259" s="901"/>
      <c r="HO259" s="901"/>
      <c r="HP259" s="901"/>
      <c r="HQ259" s="901"/>
      <c r="HR259" s="901"/>
      <c r="HS259" s="901"/>
      <c r="HT259" s="901"/>
      <c r="HU259" s="901"/>
      <c r="HV259" s="901"/>
      <c r="HW259" s="901"/>
      <c r="HX259" s="901"/>
      <c r="HY259" s="901"/>
      <c r="HZ259" s="901"/>
      <c r="IA259" s="901"/>
      <c r="IB259" s="901"/>
      <c r="IC259" s="901"/>
      <c r="ID259" s="901"/>
      <c r="IE259" s="901"/>
      <c r="IF259" s="901"/>
      <c r="IG259" s="901"/>
      <c r="IH259" s="901"/>
      <c r="II259" s="901"/>
      <c r="IJ259" s="901"/>
      <c r="IK259" s="901"/>
      <c r="IL259" s="901"/>
      <c r="IM259" s="901"/>
      <c r="IN259" s="901"/>
      <c r="IO259" s="901"/>
      <c r="IP259" s="901"/>
      <c r="IQ259" s="901"/>
      <c r="IR259" s="901"/>
      <c r="IS259" s="901"/>
      <c r="IT259" s="901"/>
      <c r="IU259" s="901"/>
      <c r="IV259" s="901"/>
      <c r="IW259" s="901"/>
      <c r="IX259" s="901"/>
      <c r="IY259" s="901"/>
      <c r="IZ259" s="901"/>
      <c r="JA259" s="901"/>
      <c r="JB259" s="901"/>
      <c r="JC259" s="901"/>
      <c r="JD259" s="901"/>
      <c r="JE259" s="901"/>
      <c r="JF259" s="901"/>
      <c r="JG259" s="901"/>
      <c r="JH259" s="901"/>
      <c r="JI259" s="901"/>
      <c r="JJ259" s="901"/>
      <c r="JK259" s="901"/>
      <c r="JL259" s="901"/>
      <c r="JM259" s="901"/>
      <c r="JN259" s="901"/>
      <c r="JO259" s="901"/>
      <c r="JP259" s="901"/>
      <c r="JQ259" s="901"/>
      <c r="JR259" s="901"/>
      <c r="JS259" s="901"/>
      <c r="JT259" s="901"/>
      <c r="JU259" s="901"/>
      <c r="JV259" s="901"/>
      <c r="JW259" s="901"/>
      <c r="JX259" s="901"/>
      <c r="JY259" s="901"/>
      <c r="JZ259" s="901"/>
      <c r="KA259" s="901"/>
      <c r="KB259" s="901"/>
      <c r="KC259" s="901"/>
      <c r="KD259" s="901"/>
      <c r="KE259" s="901"/>
      <c r="KF259" s="901"/>
      <c r="KG259" s="901"/>
      <c r="KH259" s="901"/>
      <c r="KI259" s="901"/>
      <c r="KJ259" s="901"/>
      <c r="KK259" s="901"/>
      <c r="KL259" s="901"/>
      <c r="KM259" s="901"/>
      <c r="KN259" s="901"/>
      <c r="KO259" s="901"/>
      <c r="KP259" s="901"/>
      <c r="KQ259" s="901"/>
      <c r="KR259" s="901"/>
      <c r="KS259" s="901"/>
      <c r="KT259" s="901"/>
      <c r="KU259" s="901"/>
      <c r="KV259" s="901"/>
      <c r="KW259" s="901"/>
      <c r="KX259" s="901"/>
      <c r="KY259" s="901"/>
      <c r="KZ259" s="901"/>
      <c r="LA259" s="901"/>
      <c r="LB259" s="901"/>
      <c r="LC259" s="901"/>
      <c r="LD259" s="901"/>
      <c r="LE259" s="901"/>
      <c r="LF259" s="901"/>
      <c r="LG259" s="901"/>
      <c r="LH259" s="901"/>
      <c r="LI259" s="901"/>
      <c r="LJ259" s="901"/>
      <c r="LK259" s="901"/>
      <c r="LL259" s="901"/>
      <c r="LM259" s="901"/>
      <c r="LN259" s="901"/>
      <c r="LO259" s="901"/>
      <c r="LP259" s="901"/>
      <c r="LQ259" s="901"/>
      <c r="LR259" s="901"/>
      <c r="LS259" s="901"/>
      <c r="LT259" s="901"/>
      <c r="LU259" s="901"/>
      <c r="LV259" s="901"/>
      <c r="LW259" s="901"/>
      <c r="LX259" s="901"/>
      <c r="LY259" s="901"/>
      <c r="LZ259" s="901"/>
      <c r="MA259" s="901"/>
      <c r="MB259" s="901"/>
      <c r="MC259" s="901"/>
      <c r="MD259" s="901"/>
      <c r="ME259" s="901"/>
      <c r="MF259" s="901"/>
      <c r="MG259" s="901"/>
      <c r="MH259" s="901"/>
      <c r="MI259" s="901"/>
      <c r="MJ259" s="901"/>
      <c r="MK259" s="901"/>
      <c r="ML259" s="901"/>
      <c r="MM259" s="901"/>
      <c r="MN259" s="901"/>
      <c r="MO259" s="901"/>
      <c r="MP259" s="901"/>
      <c r="MQ259" s="901"/>
      <c r="MR259" s="901"/>
      <c r="MS259" s="901"/>
      <c r="MT259" s="901"/>
      <c r="MU259" s="901"/>
      <c r="MV259" s="901"/>
      <c r="MW259" s="901"/>
      <c r="MX259" s="901"/>
      <c r="MY259" s="901"/>
      <c r="MZ259" s="901"/>
      <c r="NA259" s="901"/>
      <c r="NB259" s="901"/>
      <c r="NC259" s="901"/>
      <c r="ND259" s="901"/>
      <c r="NE259" s="901"/>
      <c r="NF259" s="901"/>
      <c r="NG259" s="901"/>
      <c r="NH259" s="901"/>
      <c r="NI259" s="901"/>
      <c r="NJ259" s="901"/>
      <c r="NK259" s="901"/>
      <c r="NL259" s="901"/>
      <c r="NM259" s="901"/>
      <c r="NN259" s="901"/>
      <c r="NO259" s="901"/>
      <c r="NP259" s="901"/>
      <c r="NQ259" s="901"/>
      <c r="NR259" s="901"/>
      <c r="NS259" s="901"/>
      <c r="NT259" s="901"/>
      <c r="NU259" s="901"/>
      <c r="NV259" s="901"/>
      <c r="NW259" s="901"/>
      <c r="NX259" s="901"/>
      <c r="NY259" s="901"/>
      <c r="NZ259" s="901"/>
      <c r="OA259" s="901"/>
      <c r="OB259" s="901"/>
      <c r="OC259" s="901"/>
      <c r="OD259" s="901"/>
      <c r="OE259" s="901"/>
      <c r="OF259" s="901"/>
      <c r="OG259" s="901"/>
      <c r="OH259" s="901"/>
      <c r="OI259" s="901"/>
      <c r="OJ259" s="901"/>
      <c r="OK259" s="901"/>
      <c r="OL259" s="901"/>
      <c r="OM259" s="901"/>
      <c r="ON259" s="901"/>
      <c r="OO259" s="901"/>
      <c r="OP259" s="901"/>
      <c r="OQ259" s="901"/>
      <c r="OR259" s="901"/>
      <c r="OS259" s="901"/>
      <c r="OT259" s="901"/>
      <c r="OU259" s="901"/>
      <c r="OV259" s="901"/>
      <c r="OW259" s="901"/>
      <c r="OX259" s="901"/>
      <c r="OY259" s="901"/>
      <c r="OZ259" s="901"/>
      <c r="PA259" s="901"/>
      <c r="PB259" s="901"/>
      <c r="PC259" s="901"/>
      <c r="PD259" s="901"/>
      <c r="PE259" s="901"/>
      <c r="PF259" s="901"/>
      <c r="PG259" s="901"/>
      <c r="PH259" s="901"/>
      <c r="PI259" s="901"/>
      <c r="PJ259" s="901"/>
      <c r="PK259" s="901"/>
      <c r="PL259" s="901"/>
      <c r="PM259" s="901"/>
      <c r="PN259" s="901"/>
      <c r="PO259" s="901"/>
      <c r="PP259" s="901"/>
      <c r="PQ259" s="901"/>
      <c r="PR259" s="901"/>
      <c r="PS259" s="901"/>
      <c r="PT259" s="901"/>
      <c r="PU259" s="901"/>
      <c r="PV259" s="901"/>
      <c r="PW259" s="901"/>
      <c r="PX259" s="901"/>
      <c r="PY259" s="901"/>
      <c r="PZ259" s="901"/>
      <c r="QA259" s="901"/>
      <c r="QB259" s="901"/>
      <c r="QC259" s="901"/>
      <c r="QD259" s="901"/>
      <c r="QE259" s="901"/>
      <c r="QF259" s="901"/>
      <c r="QG259" s="901"/>
      <c r="QH259" s="901"/>
      <c r="QI259" s="901"/>
      <c r="QJ259" s="901"/>
      <c r="QK259" s="901"/>
      <c r="QL259" s="901"/>
      <c r="QM259" s="901"/>
      <c r="QN259" s="901"/>
      <c r="QO259" s="901"/>
      <c r="QP259" s="901"/>
      <c r="QQ259" s="901"/>
      <c r="QR259" s="901"/>
      <c r="QS259" s="901"/>
      <c r="QT259" s="901"/>
      <c r="QU259" s="901"/>
      <c r="QV259" s="901"/>
      <c r="QW259" s="901"/>
      <c r="QX259" s="901"/>
      <c r="QY259" s="901"/>
      <c r="QZ259" s="901"/>
      <c r="RA259" s="901"/>
      <c r="RB259" s="901"/>
      <c r="RC259" s="901"/>
      <c r="RD259" s="901"/>
      <c r="RE259" s="901"/>
      <c r="RF259" s="901"/>
      <c r="RG259" s="901"/>
      <c r="RH259" s="901"/>
      <c r="RI259" s="901"/>
      <c r="RJ259" s="901"/>
      <c r="RK259" s="901"/>
      <c r="RL259" s="901"/>
      <c r="RM259" s="901"/>
      <c r="RN259" s="901"/>
      <c r="RO259" s="901"/>
      <c r="RP259" s="901"/>
      <c r="RQ259" s="901"/>
      <c r="RR259" s="901"/>
      <c r="RS259" s="901"/>
      <c r="RT259" s="901"/>
      <c r="RU259" s="901"/>
      <c r="RV259" s="901"/>
      <c r="RW259" s="901"/>
      <c r="RX259" s="901"/>
      <c r="RY259" s="901"/>
      <c r="RZ259" s="901"/>
      <c r="SA259" s="901"/>
      <c r="SB259" s="901"/>
      <c r="SC259" s="901"/>
      <c r="SD259" s="901"/>
      <c r="SE259" s="901"/>
      <c r="SF259" s="901"/>
      <c r="SG259" s="901"/>
      <c r="SH259" s="901"/>
      <c r="SI259" s="901"/>
      <c r="SJ259" s="901"/>
      <c r="SK259" s="901"/>
      <c r="SL259" s="901"/>
      <c r="SM259" s="901"/>
      <c r="SN259" s="901"/>
      <c r="SO259" s="901"/>
      <c r="SP259" s="901"/>
      <c r="SQ259" s="901"/>
      <c r="SR259" s="901"/>
      <c r="SS259" s="901"/>
      <c r="ST259" s="901"/>
      <c r="SU259" s="901"/>
      <c r="SV259" s="901"/>
      <c r="SW259" s="901"/>
      <c r="SX259" s="901"/>
      <c r="SY259" s="901"/>
      <c r="SZ259" s="901"/>
      <c r="TA259" s="901"/>
      <c r="TB259" s="901"/>
      <c r="TC259" s="901"/>
      <c r="TD259" s="901"/>
      <c r="TE259" s="901"/>
      <c r="TF259" s="901"/>
      <c r="TG259" s="901"/>
      <c r="TH259" s="901"/>
      <c r="TI259" s="901"/>
      <c r="TJ259" s="901"/>
      <c r="TK259" s="901"/>
      <c r="TL259" s="901"/>
      <c r="TM259" s="901"/>
      <c r="TN259" s="901"/>
      <c r="TO259" s="901"/>
      <c r="TP259" s="901"/>
      <c r="TQ259" s="901"/>
      <c r="TR259" s="901"/>
      <c r="TS259" s="901"/>
      <c r="TT259" s="901"/>
      <c r="TU259" s="901"/>
      <c r="TV259" s="901"/>
      <c r="TW259" s="901"/>
      <c r="TX259" s="901"/>
      <c r="TY259" s="901"/>
      <c r="TZ259" s="901"/>
      <c r="UA259" s="901"/>
      <c r="UB259" s="901"/>
      <c r="UC259" s="901"/>
      <c r="UD259" s="901"/>
      <c r="UE259" s="901"/>
      <c r="UF259" s="901"/>
      <c r="UG259" s="901"/>
      <c r="UH259" s="901"/>
      <c r="UI259" s="901"/>
      <c r="UJ259" s="901"/>
      <c r="UK259" s="901"/>
      <c r="UL259" s="901"/>
      <c r="UM259" s="901"/>
      <c r="UN259" s="901"/>
      <c r="UO259" s="901"/>
      <c r="UP259" s="901"/>
      <c r="UQ259" s="901"/>
      <c r="UR259" s="901"/>
      <c r="US259" s="901"/>
      <c r="UT259" s="901"/>
      <c r="UU259" s="901"/>
      <c r="UV259" s="901"/>
      <c r="UW259" s="901"/>
      <c r="UX259" s="901"/>
      <c r="UY259" s="901"/>
      <c r="UZ259" s="901"/>
      <c r="VA259" s="901"/>
      <c r="VB259" s="901"/>
      <c r="VC259" s="901"/>
      <c r="VD259" s="901"/>
      <c r="VE259" s="901"/>
      <c r="VF259" s="901"/>
      <c r="VG259" s="901"/>
      <c r="VH259" s="901"/>
      <c r="VI259" s="901"/>
      <c r="VJ259" s="901"/>
      <c r="VK259" s="901"/>
      <c r="VL259" s="901"/>
      <c r="VM259" s="901"/>
      <c r="VN259" s="901"/>
      <c r="VO259" s="901"/>
      <c r="VP259" s="901"/>
      <c r="VQ259" s="901"/>
      <c r="VR259" s="901"/>
      <c r="VS259" s="901"/>
      <c r="VT259" s="901"/>
      <c r="VU259" s="901"/>
      <c r="VV259" s="901"/>
      <c r="VW259" s="901"/>
      <c r="VX259" s="901"/>
      <c r="VY259" s="901"/>
      <c r="VZ259" s="901"/>
      <c r="WA259" s="901"/>
      <c r="WB259" s="901"/>
      <c r="WC259" s="901"/>
      <c r="WD259" s="901"/>
      <c r="WE259" s="901"/>
      <c r="WF259" s="901"/>
      <c r="WG259" s="901"/>
      <c r="WH259" s="901"/>
      <c r="WI259" s="901"/>
      <c r="WJ259" s="901"/>
      <c r="WK259" s="901"/>
      <c r="WL259" s="901"/>
      <c r="WM259" s="901"/>
      <c r="WN259" s="901"/>
      <c r="WO259" s="901"/>
      <c r="WP259" s="901"/>
      <c r="WQ259" s="901"/>
      <c r="WR259" s="901"/>
      <c r="WS259" s="901"/>
      <c r="WT259" s="901"/>
      <c r="WU259" s="901"/>
      <c r="WV259" s="901"/>
      <c r="WW259" s="901"/>
      <c r="WX259" s="901"/>
      <c r="WY259" s="901"/>
      <c r="WZ259" s="901"/>
      <c r="XA259" s="901"/>
      <c r="XB259" s="901"/>
      <c r="XC259" s="901"/>
      <c r="XD259" s="901"/>
      <c r="XE259" s="901"/>
      <c r="XF259" s="901"/>
      <c r="XG259" s="901"/>
      <c r="XH259" s="901"/>
      <c r="XI259" s="901"/>
      <c r="XJ259" s="901"/>
      <c r="XK259" s="901"/>
      <c r="XL259" s="901"/>
      <c r="XM259" s="901"/>
      <c r="XN259" s="901"/>
      <c r="XO259" s="901"/>
      <c r="XP259" s="901"/>
      <c r="XQ259" s="901"/>
      <c r="XR259" s="901"/>
      <c r="XS259" s="901"/>
      <c r="XT259" s="901"/>
      <c r="XU259" s="901"/>
      <c r="XV259" s="901"/>
      <c r="XW259" s="901"/>
      <c r="XX259" s="901"/>
      <c r="XY259" s="901"/>
      <c r="XZ259" s="901"/>
      <c r="YA259" s="901"/>
      <c r="YB259" s="901"/>
      <c r="YC259" s="901"/>
      <c r="YD259" s="901"/>
      <c r="YE259" s="901"/>
      <c r="YF259" s="901"/>
      <c r="YG259" s="901"/>
      <c r="YH259" s="901"/>
      <c r="YI259" s="901"/>
      <c r="YJ259" s="901"/>
      <c r="YK259" s="901"/>
      <c r="YL259" s="901"/>
      <c r="YM259" s="901"/>
      <c r="YN259" s="901"/>
      <c r="YO259" s="901"/>
      <c r="YP259" s="901"/>
      <c r="YQ259" s="901"/>
      <c r="YR259" s="901"/>
      <c r="YS259" s="901"/>
      <c r="YT259" s="901"/>
      <c r="YU259" s="901"/>
      <c r="YV259" s="901"/>
      <c r="YW259" s="901"/>
      <c r="YX259" s="901"/>
      <c r="YY259" s="901"/>
      <c r="YZ259" s="901"/>
      <c r="ZA259" s="901"/>
      <c r="ZB259" s="901"/>
      <c r="ZC259" s="901"/>
      <c r="ZD259" s="901"/>
      <c r="ZE259" s="901"/>
      <c r="ZF259" s="901"/>
      <c r="ZG259" s="901"/>
      <c r="ZH259" s="901"/>
      <c r="ZI259" s="901"/>
      <c r="ZJ259" s="901"/>
      <c r="ZK259" s="901"/>
      <c r="ZL259" s="901"/>
      <c r="ZM259" s="901"/>
      <c r="ZN259" s="901"/>
      <c r="ZO259" s="901"/>
      <c r="ZP259" s="901"/>
      <c r="ZQ259" s="901"/>
      <c r="ZR259" s="901"/>
      <c r="ZS259" s="901"/>
      <c r="ZT259" s="901"/>
      <c r="ZU259" s="901"/>
      <c r="ZV259" s="901"/>
      <c r="ZW259" s="901"/>
      <c r="ZX259" s="901"/>
      <c r="ZY259" s="901"/>
      <c r="ZZ259" s="901"/>
      <c r="AAA259" s="901"/>
      <c r="AAB259" s="901"/>
      <c r="AAC259" s="901"/>
      <c r="AAD259" s="901"/>
      <c r="AAE259" s="901"/>
      <c r="AAF259" s="901"/>
      <c r="AAG259" s="901"/>
      <c r="AAH259" s="901"/>
      <c r="AAI259" s="901"/>
      <c r="AAJ259" s="901"/>
      <c r="AAK259" s="901"/>
      <c r="AAL259" s="901"/>
      <c r="AAM259" s="901"/>
      <c r="AAN259" s="901"/>
      <c r="AAO259" s="901"/>
      <c r="AAP259" s="901"/>
      <c r="AAQ259" s="901"/>
      <c r="AAR259" s="901"/>
      <c r="AAS259" s="901"/>
      <c r="AAT259" s="901"/>
      <c r="AAU259" s="901"/>
      <c r="AAV259" s="901"/>
      <c r="AAW259" s="901"/>
      <c r="AAX259" s="901"/>
      <c r="AAY259" s="901"/>
      <c r="AAZ259" s="901"/>
      <c r="ABA259" s="901"/>
      <c r="ABB259" s="901"/>
      <c r="ABC259" s="901"/>
      <c r="ABD259" s="901"/>
      <c r="ABE259" s="901"/>
      <c r="ABF259" s="901"/>
      <c r="ABG259" s="901"/>
      <c r="ABH259" s="901"/>
      <c r="ABI259" s="901"/>
      <c r="ABJ259" s="901"/>
      <c r="ABK259" s="901"/>
      <c r="ABL259" s="901"/>
      <c r="ABM259" s="901"/>
      <c r="ABN259" s="901"/>
      <c r="ABO259" s="901"/>
      <c r="ABP259" s="901"/>
      <c r="ABQ259" s="901"/>
      <c r="ABR259" s="901"/>
      <c r="ABS259" s="901"/>
      <c r="ABT259" s="901"/>
      <c r="ABU259" s="901"/>
      <c r="ABV259" s="901"/>
      <c r="ABW259" s="901"/>
      <c r="ABX259" s="901"/>
      <c r="ABY259" s="901"/>
      <c r="ABZ259" s="901"/>
      <c r="ACA259" s="901"/>
      <c r="ACB259" s="901"/>
      <c r="ACC259" s="901"/>
      <c r="ACD259" s="901"/>
      <c r="ACE259" s="901"/>
      <c r="ACF259" s="901"/>
      <c r="ACG259" s="901"/>
      <c r="ACH259" s="901"/>
      <c r="ACI259" s="901"/>
      <c r="ACJ259" s="901"/>
      <c r="ACK259" s="901"/>
      <c r="ACL259" s="901"/>
      <c r="ACM259" s="901"/>
      <c r="ACN259" s="901"/>
      <c r="ACO259" s="901"/>
      <c r="ACP259" s="901"/>
      <c r="ACQ259" s="901"/>
      <c r="ACR259" s="901"/>
      <c r="ACS259" s="901"/>
      <c r="ACT259" s="901"/>
      <c r="ACU259" s="901"/>
      <c r="ACV259" s="901"/>
      <c r="ACW259" s="901"/>
      <c r="ACX259" s="901"/>
      <c r="ACY259" s="901"/>
      <c r="ACZ259" s="901"/>
      <c r="ADA259" s="901"/>
      <c r="ADB259" s="901"/>
      <c r="ADC259" s="901"/>
      <c r="ADD259" s="901"/>
      <c r="ADE259" s="901"/>
      <c r="ADF259" s="901"/>
      <c r="ADG259" s="901"/>
      <c r="ADH259" s="901"/>
      <c r="ADI259" s="901"/>
      <c r="ADJ259" s="901"/>
      <c r="ADK259" s="901"/>
      <c r="ADL259" s="901"/>
      <c r="ADM259" s="901"/>
      <c r="ADN259" s="901"/>
      <c r="ADO259" s="901"/>
      <c r="ADP259" s="901"/>
      <c r="ADQ259" s="901"/>
      <c r="ADR259" s="901"/>
      <c r="ADS259" s="901"/>
      <c r="ADT259" s="901"/>
      <c r="ADU259" s="901"/>
      <c r="ADV259" s="901"/>
      <c r="ADW259" s="901"/>
      <c r="ADX259" s="901"/>
      <c r="ADY259" s="901"/>
      <c r="ADZ259" s="901"/>
      <c r="AEA259" s="901"/>
      <c r="AEB259" s="901"/>
      <c r="AEC259" s="901"/>
      <c r="AED259" s="901"/>
      <c r="AEE259" s="901"/>
      <c r="AEF259" s="901"/>
      <c r="AEG259" s="901"/>
      <c r="AEH259" s="901"/>
      <c r="AEI259" s="901"/>
      <c r="AEJ259" s="901"/>
      <c r="AEK259" s="901"/>
      <c r="AEL259" s="901"/>
      <c r="AEM259" s="901"/>
      <c r="AEN259" s="901"/>
      <c r="AEO259" s="901"/>
      <c r="AEP259" s="901"/>
      <c r="AEQ259" s="901"/>
      <c r="AER259" s="901"/>
      <c r="AES259" s="901"/>
      <c r="AET259" s="901"/>
      <c r="AEU259" s="901"/>
      <c r="AEV259" s="901"/>
      <c r="AEW259" s="901"/>
      <c r="AEX259" s="901"/>
      <c r="AEY259" s="901"/>
      <c r="AEZ259" s="901"/>
      <c r="AFA259" s="901"/>
      <c r="AFB259" s="901"/>
      <c r="AFC259" s="901"/>
      <c r="AFD259" s="901"/>
      <c r="AFE259" s="901"/>
      <c r="AFF259" s="901"/>
      <c r="AFG259" s="901"/>
      <c r="AFH259" s="901"/>
      <c r="AFI259" s="901"/>
      <c r="AFJ259" s="901"/>
      <c r="AFK259" s="901"/>
      <c r="AFL259" s="901"/>
      <c r="AFM259" s="901"/>
      <c r="AFN259" s="901"/>
      <c r="AFO259" s="901"/>
      <c r="AFP259" s="901"/>
      <c r="AFQ259" s="901"/>
      <c r="AFR259" s="901"/>
      <c r="AFS259" s="901"/>
      <c r="AFT259" s="901"/>
      <c r="AFU259" s="901"/>
      <c r="AFV259" s="901"/>
      <c r="AFW259" s="901"/>
      <c r="AFX259" s="901"/>
      <c r="AFY259" s="901"/>
      <c r="AFZ259" s="901"/>
      <c r="AGA259" s="901"/>
      <c r="AGB259" s="901"/>
      <c r="AGC259" s="901"/>
      <c r="AGD259" s="901"/>
      <c r="AGE259" s="901"/>
      <c r="AGF259" s="901"/>
      <c r="AGG259" s="901"/>
      <c r="AGH259" s="901"/>
      <c r="AGI259" s="901"/>
      <c r="AGJ259" s="901"/>
      <c r="AGK259" s="901"/>
      <c r="AGL259" s="901"/>
      <c r="AGM259" s="901"/>
      <c r="AGN259" s="901"/>
      <c r="AGO259" s="901"/>
      <c r="AGP259" s="901"/>
      <c r="AGQ259" s="901"/>
      <c r="AGR259" s="901"/>
      <c r="AGS259" s="901"/>
      <c r="AGT259" s="901"/>
      <c r="AGU259" s="901"/>
      <c r="AGV259" s="901"/>
      <c r="AGW259" s="901"/>
      <c r="AGX259" s="901"/>
      <c r="AGY259" s="901"/>
      <c r="AGZ259" s="901"/>
      <c r="AHA259" s="901"/>
      <c r="AHB259" s="901"/>
      <c r="AHC259" s="901"/>
      <c r="AHD259" s="901"/>
      <c r="AHE259" s="901"/>
      <c r="AHF259" s="901"/>
      <c r="AHG259" s="901"/>
      <c r="AHH259" s="901"/>
      <c r="AHI259" s="901"/>
      <c r="AHJ259" s="901"/>
      <c r="AHK259" s="901"/>
      <c r="AHL259" s="901"/>
      <c r="AHM259" s="901"/>
      <c r="AHN259" s="901"/>
      <c r="AHO259" s="901"/>
      <c r="AHP259" s="901"/>
      <c r="AHQ259" s="901"/>
      <c r="AHR259" s="901"/>
      <c r="AHS259" s="901"/>
      <c r="AHT259" s="901"/>
      <c r="AHU259" s="901"/>
      <c r="AHV259" s="901"/>
      <c r="AHW259" s="901"/>
      <c r="AHX259" s="901"/>
      <c r="AHY259" s="901"/>
      <c r="AHZ259" s="901"/>
      <c r="AIA259" s="901"/>
      <c r="AIB259" s="901"/>
      <c r="AIC259" s="901"/>
      <c r="AID259" s="901"/>
      <c r="AIE259" s="901"/>
      <c r="AIF259" s="901"/>
      <c r="AIG259" s="901"/>
      <c r="AIH259" s="901"/>
      <c r="AII259" s="901"/>
      <c r="AIJ259" s="901"/>
      <c r="AIK259" s="901"/>
      <c r="AIL259" s="901"/>
      <c r="AIM259" s="901"/>
      <c r="AIN259" s="901"/>
      <c r="AIO259" s="901"/>
      <c r="AIP259" s="901"/>
      <c r="AIQ259" s="901"/>
      <c r="AIR259" s="901"/>
      <c r="AIS259" s="901"/>
      <c r="AIT259" s="901"/>
      <c r="AIU259" s="901"/>
      <c r="AIV259" s="901"/>
      <c r="AIW259" s="901"/>
      <c r="AIX259" s="901"/>
      <c r="AIY259" s="901"/>
      <c r="AIZ259" s="901"/>
      <c r="AJA259" s="901"/>
      <c r="AJB259" s="901"/>
      <c r="AJC259" s="901"/>
      <c r="AJD259" s="901"/>
      <c r="AJE259" s="901"/>
      <c r="AJF259" s="901"/>
      <c r="AJG259" s="901"/>
      <c r="AJH259" s="901"/>
      <c r="AJI259" s="901"/>
      <c r="AJJ259" s="901"/>
      <c r="AJK259" s="901"/>
      <c r="AJL259" s="901"/>
      <c r="AJM259" s="901"/>
      <c r="AJN259" s="901"/>
      <c r="AJO259" s="901"/>
      <c r="AJP259" s="901"/>
      <c r="AJQ259" s="901"/>
      <c r="AJR259" s="901"/>
      <c r="AJS259" s="901"/>
      <c r="AJT259" s="901"/>
      <c r="AJU259" s="901"/>
      <c r="AJV259" s="901"/>
      <c r="AJW259" s="901"/>
      <c r="AJX259" s="901"/>
      <c r="AJY259" s="901"/>
      <c r="AJZ259" s="901"/>
      <c r="AKA259" s="901"/>
      <c r="AKB259" s="901"/>
      <c r="AKC259" s="901"/>
      <c r="AKD259" s="901"/>
      <c r="AKE259" s="901"/>
      <c r="AKF259" s="901"/>
      <c r="AKG259" s="901"/>
      <c r="AKH259" s="901"/>
      <c r="AKI259" s="901"/>
      <c r="AKJ259" s="901"/>
      <c r="AKK259" s="901"/>
      <c r="AKL259" s="901"/>
      <c r="AKM259" s="901"/>
      <c r="AKN259" s="901"/>
      <c r="AKO259" s="901"/>
      <c r="AKP259" s="901"/>
      <c r="AKQ259" s="901"/>
      <c r="AKR259" s="901"/>
      <c r="AKS259" s="901"/>
      <c r="AKT259" s="901"/>
      <c r="AKU259" s="901"/>
      <c r="AKV259" s="901"/>
      <c r="AKW259" s="901"/>
      <c r="AKX259" s="901"/>
      <c r="AKY259" s="901"/>
      <c r="AKZ259" s="901"/>
      <c r="ALA259" s="901"/>
      <c r="ALB259" s="901"/>
      <c r="ALC259" s="901"/>
      <c r="ALD259" s="901"/>
      <c r="ALE259" s="901"/>
      <c r="ALF259" s="901"/>
      <c r="ALG259" s="901"/>
      <c r="ALH259" s="901"/>
      <c r="ALI259" s="901"/>
      <c r="ALJ259" s="901"/>
      <c r="ALK259" s="901"/>
      <c r="ALL259" s="901"/>
      <c r="ALM259" s="901"/>
      <c r="ALN259" s="901"/>
      <c r="ALO259" s="901"/>
      <c r="ALP259" s="901"/>
      <c r="ALQ259" s="901"/>
      <c r="ALR259" s="901"/>
      <c r="ALS259" s="901"/>
      <c r="ALT259" s="901"/>
      <c r="ALU259" s="901"/>
      <c r="ALV259" s="901"/>
      <c r="ALW259" s="901"/>
      <c r="ALX259" s="901"/>
      <c r="ALY259" s="901"/>
      <c r="ALZ259" s="901"/>
      <c r="AMA259" s="901"/>
      <c r="AMB259" s="901"/>
      <c r="AMC259" s="901"/>
      <c r="AMD259" s="901"/>
      <c r="AME259" s="901"/>
      <c r="AMF259" s="901"/>
      <c r="AMG259" s="901"/>
      <c r="AMH259" s="901"/>
      <c r="AMI259" s="901"/>
      <c r="AMJ259" s="901"/>
      <c r="AMK259" s="901"/>
      <c r="AML259" s="901"/>
    </row>
    <row r="260" spans="1:1026" ht="30">
      <c r="A260" s="80">
        <v>5</v>
      </c>
      <c r="B260" s="14" t="s">
        <v>16</v>
      </c>
      <c r="C260" s="14">
        <v>4</v>
      </c>
      <c r="D260" s="14" t="s">
        <v>16</v>
      </c>
      <c r="E260" s="15" t="s">
        <v>90</v>
      </c>
      <c r="F260" s="14" t="s">
        <v>16</v>
      </c>
      <c r="G260" s="81" t="s">
        <v>84</v>
      </c>
      <c r="H260" s="251" t="s">
        <v>183</v>
      </c>
      <c r="I260" s="122">
        <v>524</v>
      </c>
      <c r="J260" s="95">
        <v>259.39999999999998</v>
      </c>
      <c r="K260" s="94">
        <f>ROUNDUP(((K252*450/650)+(K253*390/450))*0.02,-2)</f>
        <v>500</v>
      </c>
      <c r="L260" s="95">
        <v>302.39999999999998</v>
      </c>
      <c r="M260" s="94">
        <f>ROUNDUP(((M252*450/650)+(M253*390/450))*0.02,-2)</f>
        <v>500</v>
      </c>
      <c r="N260" s="95">
        <v>383.4</v>
      </c>
      <c r="O260" s="96">
        <f>ROUNDUP(((O252*450/650)+(O253*390/450))*0.02,-2)</f>
        <v>500</v>
      </c>
      <c r="P260" s="95">
        <v>172.54</v>
      </c>
      <c r="Q260" s="96">
        <v>500</v>
      </c>
      <c r="R260" s="95">
        <v>239.44</v>
      </c>
      <c r="S260" s="99">
        <f>ROUNDUP(((S252*450/650)+(S253*390/450))*0.02,-2)</f>
        <v>500</v>
      </c>
      <c r="T260" s="99">
        <f>ROUNDUP(((T252*450/650)+(T253*390/450))*0.02,-2)</f>
        <v>500</v>
      </c>
      <c r="U260" s="99">
        <v>-206.6</v>
      </c>
      <c r="V260" s="125">
        <f>ROUNDUP(((V252*450/650)+(V253*390/450))*0.02,-2)</f>
        <v>500</v>
      </c>
      <c r="W260" s="126">
        <v>-278.60000000000002</v>
      </c>
      <c r="X260" s="267">
        <v>600</v>
      </c>
      <c r="Y260" s="268">
        <v>-157</v>
      </c>
      <c r="Z260" s="267">
        <v>600</v>
      </c>
      <c r="AA260" s="555">
        <v>-434.2</v>
      </c>
      <c r="AB260" s="267">
        <v>600</v>
      </c>
      <c r="AC260" s="555">
        <v>-434.2</v>
      </c>
      <c r="AD260" s="101">
        <v>500</v>
      </c>
      <c r="AE260" s="555">
        <v>-461.9</v>
      </c>
      <c r="AF260" s="101">
        <v>500</v>
      </c>
      <c r="AG260" s="674">
        <v>-192.72</v>
      </c>
      <c r="AH260" s="101">
        <v>500</v>
      </c>
      <c r="AI260" s="101">
        <v>500</v>
      </c>
      <c r="AJ260" s="101">
        <v>500</v>
      </c>
      <c r="AK260" s="868" t="s">
        <v>182</v>
      </c>
      <c r="AL260" s="514"/>
      <c r="AM260" s="106"/>
      <c r="AN260" s="106"/>
      <c r="AO260" s="65"/>
      <c r="AP260" s="65"/>
      <c r="AQ260" s="65"/>
      <c r="AR260" s="65"/>
      <c r="AS260" s="65"/>
      <c r="AT260" s="65"/>
      <c r="AU260" s="65"/>
      <c r="AV260" s="65"/>
      <c r="AW260" s="65"/>
    </row>
    <row r="261" spans="1:1026">
      <c r="A261" s="80">
        <v>5</v>
      </c>
      <c r="B261" s="14" t="s">
        <v>16</v>
      </c>
      <c r="C261" s="14">
        <v>4</v>
      </c>
      <c r="D261" s="14" t="s">
        <v>16</v>
      </c>
      <c r="E261" s="15" t="s">
        <v>90</v>
      </c>
      <c r="F261" s="14" t="s">
        <v>16</v>
      </c>
      <c r="G261" s="81" t="s">
        <v>86</v>
      </c>
      <c r="H261" s="251" t="s">
        <v>271</v>
      </c>
      <c r="I261" s="122">
        <v>0</v>
      </c>
      <c r="J261" s="95">
        <v>1600</v>
      </c>
      <c r="K261" s="94">
        <v>3500</v>
      </c>
      <c r="L261" s="95">
        <v>1295.3800000000001</v>
      </c>
      <c r="M261" s="94">
        <v>3500</v>
      </c>
      <c r="N261" s="95">
        <v>7195.38</v>
      </c>
      <c r="O261" s="96">
        <v>3500</v>
      </c>
      <c r="P261" s="95">
        <v>73</v>
      </c>
      <c r="Q261" s="96">
        <v>3000</v>
      </c>
      <c r="R261" s="95">
        <v>73</v>
      </c>
      <c r="S261" s="99">
        <v>3500</v>
      </c>
      <c r="T261" s="99">
        <v>3500</v>
      </c>
      <c r="U261" s="99">
        <v>0</v>
      </c>
      <c r="V261" s="99">
        <v>3500</v>
      </c>
      <c r="W261" s="100">
        <v>0</v>
      </c>
      <c r="X261" s="101">
        <v>3500</v>
      </c>
      <c r="Y261" s="102">
        <v>0</v>
      </c>
      <c r="Z261" s="101">
        <v>3500</v>
      </c>
      <c r="AA261" s="127">
        <v>-75.38</v>
      </c>
      <c r="AB261" s="101">
        <v>2000</v>
      </c>
      <c r="AC261" s="127">
        <v>-75.38</v>
      </c>
      <c r="AD261" s="101">
        <v>2000</v>
      </c>
      <c r="AE261" s="127">
        <v>-2946.68</v>
      </c>
      <c r="AF261" s="101">
        <v>2000</v>
      </c>
      <c r="AG261" s="746">
        <v>-195.45</v>
      </c>
      <c r="AH261" s="101">
        <v>2000</v>
      </c>
      <c r="AI261" s="101">
        <v>2000</v>
      </c>
      <c r="AJ261" s="101">
        <v>2000</v>
      </c>
      <c r="AK261" s="706"/>
      <c r="AL261" s="514"/>
      <c r="AM261" s="106"/>
      <c r="AN261" s="106"/>
      <c r="AO261" s="65"/>
      <c r="AP261" s="65"/>
      <c r="AQ261" s="65"/>
      <c r="AR261" s="65"/>
      <c r="AS261" s="65"/>
      <c r="AT261" s="65"/>
      <c r="AU261" s="65"/>
      <c r="AV261" s="65"/>
      <c r="AW261" s="65"/>
    </row>
    <row r="262" spans="1:1026">
      <c r="A262" s="80">
        <v>5</v>
      </c>
      <c r="B262" s="14" t="s">
        <v>16</v>
      </c>
      <c r="C262" s="14">
        <v>4</v>
      </c>
      <c r="D262" s="14" t="s">
        <v>16</v>
      </c>
      <c r="E262" s="15" t="s">
        <v>90</v>
      </c>
      <c r="F262" s="14" t="s">
        <v>16</v>
      </c>
      <c r="G262" s="81" t="s">
        <v>73</v>
      </c>
      <c r="H262" s="251" t="s">
        <v>272</v>
      </c>
      <c r="I262" s="122">
        <v>249</v>
      </c>
      <c r="J262" s="95">
        <v>248.04</v>
      </c>
      <c r="K262" s="94">
        <v>500</v>
      </c>
      <c r="L262" s="95">
        <v>123.97</v>
      </c>
      <c r="M262" s="94">
        <v>500</v>
      </c>
      <c r="N262" s="95">
        <v>366.14</v>
      </c>
      <c r="O262" s="96">
        <v>500</v>
      </c>
      <c r="P262" s="95">
        <v>23.9</v>
      </c>
      <c r="Q262" s="96">
        <v>250</v>
      </c>
      <c r="R262" s="95">
        <v>23.9</v>
      </c>
      <c r="S262" s="99">
        <v>500</v>
      </c>
      <c r="T262" s="99">
        <v>500</v>
      </c>
      <c r="U262" s="99">
        <v>0</v>
      </c>
      <c r="V262" s="99">
        <v>500</v>
      </c>
      <c r="W262" s="100">
        <v>0</v>
      </c>
      <c r="X262" s="101">
        <v>500</v>
      </c>
      <c r="Y262" s="102">
        <v>0</v>
      </c>
      <c r="Z262" s="101">
        <v>500</v>
      </c>
      <c r="AA262" s="127">
        <v>0</v>
      </c>
      <c r="AB262" s="101">
        <v>500</v>
      </c>
      <c r="AC262" s="127">
        <v>0</v>
      </c>
      <c r="AD262" s="101">
        <v>500</v>
      </c>
      <c r="AE262" s="127">
        <v>-188</v>
      </c>
      <c r="AF262" s="101">
        <v>500</v>
      </c>
      <c r="AG262" s="746"/>
      <c r="AH262" s="101">
        <v>500</v>
      </c>
      <c r="AI262" s="101">
        <v>500</v>
      </c>
      <c r="AJ262" s="101">
        <v>500</v>
      </c>
      <c r="AK262" s="706"/>
      <c r="AM262" s="106"/>
      <c r="AN262" s="106"/>
    </row>
    <row r="263" spans="1:1026" s="902" customFormat="1">
      <c r="A263" s="882">
        <v>5</v>
      </c>
      <c r="B263" s="883" t="s">
        <v>16</v>
      </c>
      <c r="C263" s="883">
        <v>4</v>
      </c>
      <c r="D263" s="883" t="s">
        <v>16</v>
      </c>
      <c r="E263" s="884" t="s">
        <v>90</v>
      </c>
      <c r="F263" s="883" t="s">
        <v>16</v>
      </c>
      <c r="G263" s="885" t="s">
        <v>90</v>
      </c>
      <c r="H263" s="908" t="s">
        <v>254</v>
      </c>
      <c r="I263" s="889">
        <v>0</v>
      </c>
      <c r="J263" s="888"/>
      <c r="K263" s="889">
        <v>0</v>
      </c>
      <c r="L263" s="888"/>
      <c r="M263" s="889">
        <v>0</v>
      </c>
      <c r="N263" s="888">
        <v>0</v>
      </c>
      <c r="O263" s="890">
        <v>0</v>
      </c>
      <c r="P263" s="888">
        <v>0</v>
      </c>
      <c r="Q263" s="890">
        <v>0</v>
      </c>
      <c r="R263" s="888">
        <v>0</v>
      </c>
      <c r="S263" s="891"/>
      <c r="T263" s="891"/>
      <c r="U263" s="891">
        <v>0</v>
      </c>
      <c r="V263" s="891"/>
      <c r="W263" s="903">
        <v>0</v>
      </c>
      <c r="X263" s="904"/>
      <c r="Y263" s="895">
        <v>0</v>
      </c>
      <c r="Z263" s="909">
        <v>0</v>
      </c>
      <c r="AA263" s="910">
        <v>0</v>
      </c>
      <c r="AB263" s="909">
        <v>0</v>
      </c>
      <c r="AC263" s="910">
        <v>0</v>
      </c>
      <c r="AD263" s="909">
        <v>0</v>
      </c>
      <c r="AE263" s="910">
        <v>-339.83</v>
      </c>
      <c r="AF263" s="909">
        <v>0</v>
      </c>
      <c r="AG263" s="911">
        <v>-1024.46</v>
      </c>
      <c r="AH263" s="909">
        <v>0</v>
      </c>
      <c r="AI263" s="909">
        <v>100</v>
      </c>
      <c r="AJ263" s="909">
        <v>100</v>
      </c>
      <c r="AK263" s="912" t="s">
        <v>519</v>
      </c>
      <c r="AL263" s="899"/>
      <c r="AM263" s="900"/>
      <c r="AN263" s="900"/>
      <c r="AO263" s="901"/>
      <c r="AP263" s="901"/>
      <c r="AQ263" s="901"/>
      <c r="AR263" s="901"/>
      <c r="AS263" s="901"/>
      <c r="AT263" s="901"/>
      <c r="AU263" s="901"/>
      <c r="AV263" s="901"/>
      <c r="AW263" s="901"/>
      <c r="AX263" s="901"/>
      <c r="AY263" s="901"/>
      <c r="AZ263" s="901"/>
      <c r="BA263" s="901"/>
      <c r="BB263" s="901"/>
      <c r="BC263" s="901"/>
      <c r="BD263" s="901"/>
      <c r="BE263" s="901"/>
      <c r="BF263" s="901"/>
      <c r="BG263" s="901"/>
      <c r="BH263" s="901"/>
      <c r="BI263" s="901"/>
      <c r="BJ263" s="901"/>
      <c r="BK263" s="901"/>
      <c r="BL263" s="901"/>
      <c r="BM263" s="901"/>
      <c r="BN263" s="901"/>
      <c r="BO263" s="901"/>
      <c r="BP263" s="901"/>
      <c r="BQ263" s="901"/>
      <c r="BR263" s="901"/>
      <c r="BS263" s="901"/>
      <c r="BT263" s="901"/>
      <c r="BU263" s="901"/>
      <c r="BV263" s="901"/>
      <c r="BW263" s="901"/>
      <c r="BX263" s="901"/>
      <c r="BY263" s="901"/>
      <c r="BZ263" s="901"/>
      <c r="CA263" s="901"/>
      <c r="CB263" s="901"/>
      <c r="CC263" s="901"/>
      <c r="CD263" s="901"/>
      <c r="CE263" s="901"/>
      <c r="CF263" s="901"/>
      <c r="CG263" s="901"/>
      <c r="CH263" s="901"/>
      <c r="CI263" s="901"/>
      <c r="CJ263" s="901"/>
      <c r="CK263" s="901"/>
      <c r="CL263" s="901"/>
      <c r="CM263" s="901"/>
      <c r="CN263" s="901"/>
      <c r="CO263" s="901"/>
      <c r="CP263" s="901"/>
      <c r="CQ263" s="901"/>
      <c r="CR263" s="901"/>
      <c r="CS263" s="901"/>
      <c r="CT263" s="901"/>
      <c r="CU263" s="901"/>
      <c r="CV263" s="901"/>
      <c r="CW263" s="901"/>
      <c r="CX263" s="901"/>
      <c r="CY263" s="901"/>
      <c r="CZ263" s="901"/>
      <c r="DA263" s="901"/>
      <c r="DB263" s="901"/>
      <c r="DC263" s="901"/>
      <c r="DD263" s="901"/>
      <c r="DE263" s="901"/>
      <c r="DF263" s="901"/>
      <c r="DG263" s="901"/>
      <c r="DH263" s="901"/>
      <c r="DI263" s="901"/>
      <c r="DJ263" s="901"/>
      <c r="DK263" s="901"/>
      <c r="DL263" s="901"/>
      <c r="DM263" s="901"/>
      <c r="DN263" s="901"/>
      <c r="DO263" s="901"/>
      <c r="DP263" s="901"/>
      <c r="DQ263" s="901"/>
      <c r="DR263" s="901"/>
      <c r="DS263" s="901"/>
      <c r="DT263" s="901"/>
      <c r="DU263" s="901"/>
      <c r="DV263" s="901"/>
      <c r="DW263" s="901"/>
      <c r="DX263" s="901"/>
      <c r="DY263" s="901"/>
      <c r="DZ263" s="901"/>
      <c r="EA263" s="901"/>
      <c r="EB263" s="901"/>
      <c r="EC263" s="901"/>
      <c r="ED263" s="901"/>
      <c r="EE263" s="901"/>
      <c r="EF263" s="901"/>
      <c r="EG263" s="901"/>
      <c r="EH263" s="901"/>
      <c r="EI263" s="901"/>
      <c r="EJ263" s="901"/>
      <c r="EK263" s="901"/>
      <c r="EL263" s="901"/>
      <c r="EM263" s="901"/>
      <c r="EN263" s="901"/>
      <c r="EO263" s="901"/>
      <c r="EP263" s="901"/>
      <c r="EQ263" s="901"/>
      <c r="ER263" s="901"/>
      <c r="ES263" s="901"/>
      <c r="ET263" s="901"/>
      <c r="EU263" s="901"/>
      <c r="EV263" s="901"/>
      <c r="EW263" s="901"/>
      <c r="EX263" s="901"/>
      <c r="EY263" s="901"/>
      <c r="EZ263" s="901"/>
      <c r="FA263" s="901"/>
      <c r="FB263" s="901"/>
      <c r="FC263" s="901"/>
      <c r="FD263" s="901"/>
      <c r="FE263" s="901"/>
      <c r="FF263" s="901"/>
      <c r="FG263" s="901"/>
      <c r="FH263" s="901"/>
      <c r="FI263" s="901"/>
      <c r="FJ263" s="901"/>
      <c r="FK263" s="901"/>
      <c r="FL263" s="901"/>
      <c r="FM263" s="901"/>
      <c r="FN263" s="901"/>
      <c r="FO263" s="901"/>
      <c r="FP263" s="901"/>
      <c r="FQ263" s="901"/>
      <c r="FR263" s="901"/>
      <c r="FS263" s="901"/>
      <c r="FT263" s="901"/>
      <c r="FU263" s="901"/>
      <c r="FV263" s="901"/>
      <c r="FW263" s="901"/>
      <c r="FX263" s="901"/>
      <c r="FY263" s="901"/>
      <c r="FZ263" s="901"/>
      <c r="GA263" s="901"/>
      <c r="GB263" s="901"/>
      <c r="GC263" s="901"/>
      <c r="GD263" s="901"/>
      <c r="GE263" s="901"/>
      <c r="GF263" s="901"/>
      <c r="GG263" s="901"/>
      <c r="GH263" s="901"/>
      <c r="GI263" s="901"/>
      <c r="GJ263" s="901"/>
      <c r="GK263" s="901"/>
      <c r="GL263" s="901"/>
      <c r="GM263" s="901"/>
      <c r="GN263" s="901"/>
      <c r="GO263" s="901"/>
      <c r="GP263" s="901"/>
      <c r="GQ263" s="901"/>
      <c r="GR263" s="901"/>
      <c r="GS263" s="901"/>
      <c r="GT263" s="901"/>
      <c r="GU263" s="901"/>
      <c r="GV263" s="901"/>
      <c r="GW263" s="901"/>
      <c r="GX263" s="901"/>
      <c r="GY263" s="901"/>
      <c r="GZ263" s="901"/>
      <c r="HA263" s="901"/>
      <c r="HB263" s="901"/>
      <c r="HC263" s="901"/>
      <c r="HD263" s="901"/>
      <c r="HE263" s="901"/>
      <c r="HF263" s="901"/>
      <c r="HG263" s="901"/>
      <c r="HH263" s="901"/>
      <c r="HI263" s="901"/>
      <c r="HJ263" s="901"/>
      <c r="HK263" s="901"/>
      <c r="HL263" s="901"/>
      <c r="HM263" s="901"/>
      <c r="HN263" s="901"/>
      <c r="HO263" s="901"/>
      <c r="HP263" s="901"/>
      <c r="HQ263" s="901"/>
      <c r="HR263" s="901"/>
      <c r="HS263" s="901"/>
      <c r="HT263" s="901"/>
      <c r="HU263" s="901"/>
      <c r="HV263" s="901"/>
      <c r="HW263" s="901"/>
      <c r="HX263" s="901"/>
      <c r="HY263" s="901"/>
      <c r="HZ263" s="901"/>
      <c r="IA263" s="901"/>
      <c r="IB263" s="901"/>
      <c r="IC263" s="901"/>
      <c r="ID263" s="901"/>
      <c r="IE263" s="901"/>
      <c r="IF263" s="901"/>
      <c r="IG263" s="901"/>
      <c r="IH263" s="901"/>
      <c r="II263" s="901"/>
      <c r="IJ263" s="901"/>
      <c r="IK263" s="901"/>
      <c r="IL263" s="901"/>
      <c r="IM263" s="901"/>
      <c r="IN263" s="901"/>
      <c r="IO263" s="901"/>
      <c r="IP263" s="901"/>
      <c r="IQ263" s="901"/>
      <c r="IR263" s="901"/>
      <c r="IS263" s="901"/>
      <c r="IT263" s="901"/>
      <c r="IU263" s="901"/>
      <c r="IV263" s="901"/>
      <c r="IW263" s="901"/>
      <c r="IX263" s="901"/>
      <c r="IY263" s="901"/>
      <c r="IZ263" s="901"/>
      <c r="JA263" s="901"/>
      <c r="JB263" s="901"/>
      <c r="JC263" s="901"/>
      <c r="JD263" s="901"/>
      <c r="JE263" s="901"/>
      <c r="JF263" s="901"/>
      <c r="JG263" s="901"/>
      <c r="JH263" s="901"/>
      <c r="JI263" s="901"/>
      <c r="JJ263" s="901"/>
      <c r="JK263" s="901"/>
      <c r="JL263" s="901"/>
      <c r="JM263" s="901"/>
      <c r="JN263" s="901"/>
      <c r="JO263" s="901"/>
      <c r="JP263" s="901"/>
      <c r="JQ263" s="901"/>
      <c r="JR263" s="901"/>
      <c r="JS263" s="901"/>
      <c r="JT263" s="901"/>
      <c r="JU263" s="901"/>
      <c r="JV263" s="901"/>
      <c r="JW263" s="901"/>
      <c r="JX263" s="901"/>
      <c r="JY263" s="901"/>
      <c r="JZ263" s="901"/>
      <c r="KA263" s="901"/>
      <c r="KB263" s="901"/>
      <c r="KC263" s="901"/>
      <c r="KD263" s="901"/>
      <c r="KE263" s="901"/>
      <c r="KF263" s="901"/>
      <c r="KG263" s="901"/>
      <c r="KH263" s="901"/>
      <c r="KI263" s="901"/>
      <c r="KJ263" s="901"/>
      <c r="KK263" s="901"/>
      <c r="KL263" s="901"/>
      <c r="KM263" s="901"/>
      <c r="KN263" s="901"/>
      <c r="KO263" s="901"/>
      <c r="KP263" s="901"/>
      <c r="KQ263" s="901"/>
      <c r="KR263" s="901"/>
      <c r="KS263" s="901"/>
      <c r="KT263" s="901"/>
      <c r="KU263" s="901"/>
      <c r="KV263" s="901"/>
      <c r="KW263" s="901"/>
      <c r="KX263" s="901"/>
      <c r="KY263" s="901"/>
      <c r="KZ263" s="901"/>
      <c r="LA263" s="901"/>
      <c r="LB263" s="901"/>
      <c r="LC263" s="901"/>
      <c r="LD263" s="901"/>
      <c r="LE263" s="901"/>
      <c r="LF263" s="901"/>
      <c r="LG263" s="901"/>
      <c r="LH263" s="901"/>
      <c r="LI263" s="901"/>
      <c r="LJ263" s="901"/>
      <c r="LK263" s="901"/>
      <c r="LL263" s="901"/>
      <c r="LM263" s="901"/>
      <c r="LN263" s="901"/>
      <c r="LO263" s="901"/>
      <c r="LP263" s="901"/>
      <c r="LQ263" s="901"/>
      <c r="LR263" s="901"/>
      <c r="LS263" s="901"/>
      <c r="LT263" s="901"/>
      <c r="LU263" s="901"/>
      <c r="LV263" s="901"/>
      <c r="LW263" s="901"/>
      <c r="LX263" s="901"/>
      <c r="LY263" s="901"/>
      <c r="LZ263" s="901"/>
      <c r="MA263" s="901"/>
      <c r="MB263" s="901"/>
      <c r="MC263" s="901"/>
      <c r="MD263" s="901"/>
      <c r="ME263" s="901"/>
      <c r="MF263" s="901"/>
      <c r="MG263" s="901"/>
      <c r="MH263" s="901"/>
      <c r="MI263" s="901"/>
      <c r="MJ263" s="901"/>
      <c r="MK263" s="901"/>
      <c r="ML263" s="901"/>
      <c r="MM263" s="901"/>
      <c r="MN263" s="901"/>
      <c r="MO263" s="901"/>
      <c r="MP263" s="901"/>
      <c r="MQ263" s="901"/>
      <c r="MR263" s="901"/>
      <c r="MS263" s="901"/>
      <c r="MT263" s="901"/>
      <c r="MU263" s="901"/>
      <c r="MV263" s="901"/>
      <c r="MW263" s="901"/>
      <c r="MX263" s="901"/>
      <c r="MY263" s="901"/>
      <c r="MZ263" s="901"/>
      <c r="NA263" s="901"/>
      <c r="NB263" s="901"/>
      <c r="NC263" s="901"/>
      <c r="ND263" s="901"/>
      <c r="NE263" s="901"/>
      <c r="NF263" s="901"/>
      <c r="NG263" s="901"/>
      <c r="NH263" s="901"/>
      <c r="NI263" s="901"/>
      <c r="NJ263" s="901"/>
      <c r="NK263" s="901"/>
      <c r="NL263" s="901"/>
      <c r="NM263" s="901"/>
      <c r="NN263" s="901"/>
      <c r="NO263" s="901"/>
      <c r="NP263" s="901"/>
      <c r="NQ263" s="901"/>
      <c r="NR263" s="901"/>
      <c r="NS263" s="901"/>
      <c r="NT263" s="901"/>
      <c r="NU263" s="901"/>
      <c r="NV263" s="901"/>
      <c r="NW263" s="901"/>
      <c r="NX263" s="901"/>
      <c r="NY263" s="901"/>
      <c r="NZ263" s="901"/>
      <c r="OA263" s="901"/>
      <c r="OB263" s="901"/>
      <c r="OC263" s="901"/>
      <c r="OD263" s="901"/>
      <c r="OE263" s="901"/>
      <c r="OF263" s="901"/>
      <c r="OG263" s="901"/>
      <c r="OH263" s="901"/>
      <c r="OI263" s="901"/>
      <c r="OJ263" s="901"/>
      <c r="OK263" s="901"/>
      <c r="OL263" s="901"/>
      <c r="OM263" s="901"/>
      <c r="ON263" s="901"/>
      <c r="OO263" s="901"/>
      <c r="OP263" s="901"/>
      <c r="OQ263" s="901"/>
      <c r="OR263" s="901"/>
      <c r="OS263" s="901"/>
      <c r="OT263" s="901"/>
      <c r="OU263" s="901"/>
      <c r="OV263" s="901"/>
      <c r="OW263" s="901"/>
      <c r="OX263" s="901"/>
      <c r="OY263" s="901"/>
      <c r="OZ263" s="901"/>
      <c r="PA263" s="901"/>
      <c r="PB263" s="901"/>
      <c r="PC263" s="901"/>
      <c r="PD263" s="901"/>
      <c r="PE263" s="901"/>
      <c r="PF263" s="901"/>
      <c r="PG263" s="901"/>
      <c r="PH263" s="901"/>
      <c r="PI263" s="901"/>
      <c r="PJ263" s="901"/>
      <c r="PK263" s="901"/>
      <c r="PL263" s="901"/>
      <c r="PM263" s="901"/>
      <c r="PN263" s="901"/>
      <c r="PO263" s="901"/>
      <c r="PP263" s="901"/>
      <c r="PQ263" s="901"/>
      <c r="PR263" s="901"/>
      <c r="PS263" s="901"/>
      <c r="PT263" s="901"/>
      <c r="PU263" s="901"/>
      <c r="PV263" s="901"/>
      <c r="PW263" s="901"/>
      <c r="PX263" s="901"/>
      <c r="PY263" s="901"/>
      <c r="PZ263" s="901"/>
      <c r="QA263" s="901"/>
      <c r="QB263" s="901"/>
      <c r="QC263" s="901"/>
      <c r="QD263" s="901"/>
      <c r="QE263" s="901"/>
      <c r="QF263" s="901"/>
      <c r="QG263" s="901"/>
      <c r="QH263" s="901"/>
      <c r="QI263" s="901"/>
      <c r="QJ263" s="901"/>
      <c r="QK263" s="901"/>
      <c r="QL263" s="901"/>
      <c r="QM263" s="901"/>
      <c r="QN263" s="901"/>
      <c r="QO263" s="901"/>
      <c r="QP263" s="901"/>
      <c r="QQ263" s="901"/>
      <c r="QR263" s="901"/>
      <c r="QS263" s="901"/>
      <c r="QT263" s="901"/>
      <c r="QU263" s="901"/>
      <c r="QV263" s="901"/>
      <c r="QW263" s="901"/>
      <c r="QX263" s="901"/>
      <c r="QY263" s="901"/>
      <c r="QZ263" s="901"/>
      <c r="RA263" s="901"/>
      <c r="RB263" s="901"/>
      <c r="RC263" s="901"/>
      <c r="RD263" s="901"/>
      <c r="RE263" s="901"/>
      <c r="RF263" s="901"/>
      <c r="RG263" s="901"/>
      <c r="RH263" s="901"/>
      <c r="RI263" s="901"/>
      <c r="RJ263" s="901"/>
      <c r="RK263" s="901"/>
      <c r="RL263" s="901"/>
      <c r="RM263" s="901"/>
      <c r="RN263" s="901"/>
      <c r="RO263" s="901"/>
      <c r="RP263" s="901"/>
      <c r="RQ263" s="901"/>
      <c r="RR263" s="901"/>
      <c r="RS263" s="901"/>
      <c r="RT263" s="901"/>
      <c r="RU263" s="901"/>
      <c r="RV263" s="901"/>
      <c r="RW263" s="901"/>
      <c r="RX263" s="901"/>
      <c r="RY263" s="901"/>
      <c r="RZ263" s="901"/>
      <c r="SA263" s="901"/>
      <c r="SB263" s="901"/>
      <c r="SC263" s="901"/>
      <c r="SD263" s="901"/>
      <c r="SE263" s="901"/>
      <c r="SF263" s="901"/>
      <c r="SG263" s="901"/>
      <c r="SH263" s="901"/>
      <c r="SI263" s="901"/>
      <c r="SJ263" s="901"/>
      <c r="SK263" s="901"/>
      <c r="SL263" s="901"/>
      <c r="SM263" s="901"/>
      <c r="SN263" s="901"/>
      <c r="SO263" s="901"/>
      <c r="SP263" s="901"/>
      <c r="SQ263" s="901"/>
      <c r="SR263" s="901"/>
      <c r="SS263" s="901"/>
      <c r="ST263" s="901"/>
      <c r="SU263" s="901"/>
      <c r="SV263" s="901"/>
      <c r="SW263" s="901"/>
      <c r="SX263" s="901"/>
      <c r="SY263" s="901"/>
      <c r="SZ263" s="901"/>
      <c r="TA263" s="901"/>
      <c r="TB263" s="901"/>
      <c r="TC263" s="901"/>
      <c r="TD263" s="901"/>
      <c r="TE263" s="901"/>
      <c r="TF263" s="901"/>
      <c r="TG263" s="901"/>
      <c r="TH263" s="901"/>
      <c r="TI263" s="901"/>
      <c r="TJ263" s="901"/>
      <c r="TK263" s="901"/>
      <c r="TL263" s="901"/>
      <c r="TM263" s="901"/>
      <c r="TN263" s="901"/>
      <c r="TO263" s="901"/>
      <c r="TP263" s="901"/>
      <c r="TQ263" s="901"/>
      <c r="TR263" s="901"/>
      <c r="TS263" s="901"/>
      <c r="TT263" s="901"/>
      <c r="TU263" s="901"/>
      <c r="TV263" s="901"/>
      <c r="TW263" s="901"/>
      <c r="TX263" s="901"/>
      <c r="TY263" s="901"/>
      <c r="TZ263" s="901"/>
      <c r="UA263" s="901"/>
      <c r="UB263" s="901"/>
      <c r="UC263" s="901"/>
      <c r="UD263" s="901"/>
      <c r="UE263" s="901"/>
      <c r="UF263" s="901"/>
      <c r="UG263" s="901"/>
      <c r="UH263" s="901"/>
      <c r="UI263" s="901"/>
      <c r="UJ263" s="901"/>
      <c r="UK263" s="901"/>
      <c r="UL263" s="901"/>
      <c r="UM263" s="901"/>
      <c r="UN263" s="901"/>
      <c r="UO263" s="901"/>
      <c r="UP263" s="901"/>
      <c r="UQ263" s="901"/>
      <c r="UR263" s="901"/>
      <c r="US263" s="901"/>
      <c r="UT263" s="901"/>
      <c r="UU263" s="901"/>
      <c r="UV263" s="901"/>
      <c r="UW263" s="901"/>
      <c r="UX263" s="901"/>
      <c r="UY263" s="901"/>
      <c r="UZ263" s="901"/>
      <c r="VA263" s="901"/>
      <c r="VB263" s="901"/>
      <c r="VC263" s="901"/>
      <c r="VD263" s="901"/>
      <c r="VE263" s="901"/>
      <c r="VF263" s="901"/>
      <c r="VG263" s="901"/>
      <c r="VH263" s="901"/>
      <c r="VI263" s="901"/>
      <c r="VJ263" s="901"/>
      <c r="VK263" s="901"/>
      <c r="VL263" s="901"/>
      <c r="VM263" s="901"/>
      <c r="VN263" s="901"/>
      <c r="VO263" s="901"/>
      <c r="VP263" s="901"/>
      <c r="VQ263" s="901"/>
      <c r="VR263" s="901"/>
      <c r="VS263" s="901"/>
      <c r="VT263" s="901"/>
      <c r="VU263" s="901"/>
      <c r="VV263" s="901"/>
      <c r="VW263" s="901"/>
      <c r="VX263" s="901"/>
      <c r="VY263" s="901"/>
      <c r="VZ263" s="901"/>
      <c r="WA263" s="901"/>
      <c r="WB263" s="901"/>
      <c r="WC263" s="901"/>
      <c r="WD263" s="901"/>
      <c r="WE263" s="901"/>
      <c r="WF263" s="901"/>
      <c r="WG263" s="901"/>
      <c r="WH263" s="901"/>
      <c r="WI263" s="901"/>
      <c r="WJ263" s="901"/>
      <c r="WK263" s="901"/>
      <c r="WL263" s="901"/>
      <c r="WM263" s="901"/>
      <c r="WN263" s="901"/>
      <c r="WO263" s="901"/>
      <c r="WP263" s="901"/>
      <c r="WQ263" s="901"/>
      <c r="WR263" s="901"/>
      <c r="WS263" s="901"/>
      <c r="WT263" s="901"/>
      <c r="WU263" s="901"/>
      <c r="WV263" s="901"/>
      <c r="WW263" s="901"/>
      <c r="WX263" s="901"/>
      <c r="WY263" s="901"/>
      <c r="WZ263" s="901"/>
      <c r="XA263" s="901"/>
      <c r="XB263" s="901"/>
      <c r="XC263" s="901"/>
      <c r="XD263" s="901"/>
      <c r="XE263" s="901"/>
      <c r="XF263" s="901"/>
      <c r="XG263" s="901"/>
      <c r="XH263" s="901"/>
      <c r="XI263" s="901"/>
      <c r="XJ263" s="901"/>
      <c r="XK263" s="901"/>
      <c r="XL263" s="901"/>
      <c r="XM263" s="901"/>
      <c r="XN263" s="901"/>
      <c r="XO263" s="901"/>
      <c r="XP263" s="901"/>
      <c r="XQ263" s="901"/>
      <c r="XR263" s="901"/>
      <c r="XS263" s="901"/>
      <c r="XT263" s="901"/>
      <c r="XU263" s="901"/>
      <c r="XV263" s="901"/>
      <c r="XW263" s="901"/>
      <c r="XX263" s="901"/>
      <c r="XY263" s="901"/>
      <c r="XZ263" s="901"/>
      <c r="YA263" s="901"/>
      <c r="YB263" s="901"/>
      <c r="YC263" s="901"/>
      <c r="YD263" s="901"/>
      <c r="YE263" s="901"/>
      <c r="YF263" s="901"/>
      <c r="YG263" s="901"/>
      <c r="YH263" s="901"/>
      <c r="YI263" s="901"/>
      <c r="YJ263" s="901"/>
      <c r="YK263" s="901"/>
      <c r="YL263" s="901"/>
      <c r="YM263" s="901"/>
      <c r="YN263" s="901"/>
      <c r="YO263" s="901"/>
      <c r="YP263" s="901"/>
      <c r="YQ263" s="901"/>
      <c r="YR263" s="901"/>
      <c r="YS263" s="901"/>
      <c r="YT263" s="901"/>
      <c r="YU263" s="901"/>
      <c r="YV263" s="901"/>
      <c r="YW263" s="901"/>
      <c r="YX263" s="901"/>
      <c r="YY263" s="901"/>
      <c r="YZ263" s="901"/>
      <c r="ZA263" s="901"/>
      <c r="ZB263" s="901"/>
      <c r="ZC263" s="901"/>
      <c r="ZD263" s="901"/>
      <c r="ZE263" s="901"/>
      <c r="ZF263" s="901"/>
      <c r="ZG263" s="901"/>
      <c r="ZH263" s="901"/>
      <c r="ZI263" s="901"/>
      <c r="ZJ263" s="901"/>
      <c r="ZK263" s="901"/>
      <c r="ZL263" s="901"/>
      <c r="ZM263" s="901"/>
      <c r="ZN263" s="901"/>
      <c r="ZO263" s="901"/>
      <c r="ZP263" s="901"/>
      <c r="ZQ263" s="901"/>
      <c r="ZR263" s="901"/>
      <c r="ZS263" s="901"/>
      <c r="ZT263" s="901"/>
      <c r="ZU263" s="901"/>
      <c r="ZV263" s="901"/>
      <c r="ZW263" s="901"/>
      <c r="ZX263" s="901"/>
      <c r="ZY263" s="901"/>
      <c r="ZZ263" s="901"/>
      <c r="AAA263" s="901"/>
      <c r="AAB263" s="901"/>
      <c r="AAC263" s="901"/>
      <c r="AAD263" s="901"/>
      <c r="AAE263" s="901"/>
      <c r="AAF263" s="901"/>
      <c r="AAG263" s="901"/>
      <c r="AAH263" s="901"/>
      <c r="AAI263" s="901"/>
      <c r="AAJ263" s="901"/>
      <c r="AAK263" s="901"/>
      <c r="AAL263" s="901"/>
      <c r="AAM263" s="901"/>
      <c r="AAN263" s="901"/>
      <c r="AAO263" s="901"/>
      <c r="AAP263" s="901"/>
      <c r="AAQ263" s="901"/>
      <c r="AAR263" s="901"/>
      <c r="AAS263" s="901"/>
      <c r="AAT263" s="901"/>
      <c r="AAU263" s="901"/>
      <c r="AAV263" s="901"/>
      <c r="AAW263" s="901"/>
      <c r="AAX263" s="901"/>
      <c r="AAY263" s="901"/>
      <c r="AAZ263" s="901"/>
      <c r="ABA263" s="901"/>
      <c r="ABB263" s="901"/>
      <c r="ABC263" s="901"/>
      <c r="ABD263" s="901"/>
      <c r="ABE263" s="901"/>
      <c r="ABF263" s="901"/>
      <c r="ABG263" s="901"/>
      <c r="ABH263" s="901"/>
      <c r="ABI263" s="901"/>
      <c r="ABJ263" s="901"/>
      <c r="ABK263" s="901"/>
      <c r="ABL263" s="901"/>
      <c r="ABM263" s="901"/>
      <c r="ABN263" s="901"/>
      <c r="ABO263" s="901"/>
      <c r="ABP263" s="901"/>
      <c r="ABQ263" s="901"/>
      <c r="ABR263" s="901"/>
      <c r="ABS263" s="901"/>
      <c r="ABT263" s="901"/>
      <c r="ABU263" s="901"/>
      <c r="ABV263" s="901"/>
      <c r="ABW263" s="901"/>
      <c r="ABX263" s="901"/>
      <c r="ABY263" s="901"/>
      <c r="ABZ263" s="901"/>
      <c r="ACA263" s="901"/>
      <c r="ACB263" s="901"/>
      <c r="ACC263" s="901"/>
      <c r="ACD263" s="901"/>
      <c r="ACE263" s="901"/>
      <c r="ACF263" s="901"/>
      <c r="ACG263" s="901"/>
      <c r="ACH263" s="901"/>
      <c r="ACI263" s="901"/>
      <c r="ACJ263" s="901"/>
      <c r="ACK263" s="901"/>
      <c r="ACL263" s="901"/>
      <c r="ACM263" s="901"/>
      <c r="ACN263" s="901"/>
      <c r="ACO263" s="901"/>
      <c r="ACP263" s="901"/>
      <c r="ACQ263" s="901"/>
      <c r="ACR263" s="901"/>
      <c r="ACS263" s="901"/>
      <c r="ACT263" s="901"/>
      <c r="ACU263" s="901"/>
      <c r="ACV263" s="901"/>
      <c r="ACW263" s="901"/>
      <c r="ACX263" s="901"/>
      <c r="ACY263" s="901"/>
      <c r="ACZ263" s="901"/>
      <c r="ADA263" s="901"/>
      <c r="ADB263" s="901"/>
      <c r="ADC263" s="901"/>
      <c r="ADD263" s="901"/>
      <c r="ADE263" s="901"/>
      <c r="ADF263" s="901"/>
      <c r="ADG263" s="901"/>
      <c r="ADH263" s="901"/>
      <c r="ADI263" s="901"/>
      <c r="ADJ263" s="901"/>
      <c r="ADK263" s="901"/>
      <c r="ADL263" s="901"/>
      <c r="ADM263" s="901"/>
      <c r="ADN263" s="901"/>
      <c r="ADO263" s="901"/>
      <c r="ADP263" s="901"/>
      <c r="ADQ263" s="901"/>
      <c r="ADR263" s="901"/>
      <c r="ADS263" s="901"/>
      <c r="ADT263" s="901"/>
      <c r="ADU263" s="901"/>
      <c r="ADV263" s="901"/>
      <c r="ADW263" s="901"/>
      <c r="ADX263" s="901"/>
      <c r="ADY263" s="901"/>
      <c r="ADZ263" s="901"/>
      <c r="AEA263" s="901"/>
      <c r="AEB263" s="901"/>
      <c r="AEC263" s="901"/>
      <c r="AED263" s="901"/>
      <c r="AEE263" s="901"/>
      <c r="AEF263" s="901"/>
      <c r="AEG263" s="901"/>
      <c r="AEH263" s="901"/>
      <c r="AEI263" s="901"/>
      <c r="AEJ263" s="901"/>
      <c r="AEK263" s="901"/>
      <c r="AEL263" s="901"/>
      <c r="AEM263" s="901"/>
      <c r="AEN263" s="901"/>
      <c r="AEO263" s="901"/>
      <c r="AEP263" s="901"/>
      <c r="AEQ263" s="901"/>
      <c r="AER263" s="901"/>
      <c r="AES263" s="901"/>
      <c r="AET263" s="901"/>
      <c r="AEU263" s="901"/>
      <c r="AEV263" s="901"/>
      <c r="AEW263" s="901"/>
      <c r="AEX263" s="901"/>
      <c r="AEY263" s="901"/>
      <c r="AEZ263" s="901"/>
      <c r="AFA263" s="901"/>
      <c r="AFB263" s="901"/>
      <c r="AFC263" s="901"/>
      <c r="AFD263" s="901"/>
      <c r="AFE263" s="901"/>
      <c r="AFF263" s="901"/>
      <c r="AFG263" s="901"/>
      <c r="AFH263" s="901"/>
      <c r="AFI263" s="901"/>
      <c r="AFJ263" s="901"/>
      <c r="AFK263" s="901"/>
      <c r="AFL263" s="901"/>
      <c r="AFM263" s="901"/>
      <c r="AFN263" s="901"/>
      <c r="AFO263" s="901"/>
      <c r="AFP263" s="901"/>
      <c r="AFQ263" s="901"/>
      <c r="AFR263" s="901"/>
      <c r="AFS263" s="901"/>
      <c r="AFT263" s="901"/>
      <c r="AFU263" s="901"/>
      <c r="AFV263" s="901"/>
      <c r="AFW263" s="901"/>
      <c r="AFX263" s="901"/>
      <c r="AFY263" s="901"/>
      <c r="AFZ263" s="901"/>
      <c r="AGA263" s="901"/>
      <c r="AGB263" s="901"/>
      <c r="AGC263" s="901"/>
      <c r="AGD263" s="901"/>
      <c r="AGE263" s="901"/>
      <c r="AGF263" s="901"/>
      <c r="AGG263" s="901"/>
      <c r="AGH263" s="901"/>
      <c r="AGI263" s="901"/>
      <c r="AGJ263" s="901"/>
      <c r="AGK263" s="901"/>
      <c r="AGL263" s="901"/>
      <c r="AGM263" s="901"/>
      <c r="AGN263" s="901"/>
      <c r="AGO263" s="901"/>
      <c r="AGP263" s="901"/>
      <c r="AGQ263" s="901"/>
      <c r="AGR263" s="901"/>
      <c r="AGS263" s="901"/>
      <c r="AGT263" s="901"/>
      <c r="AGU263" s="901"/>
      <c r="AGV263" s="901"/>
      <c r="AGW263" s="901"/>
      <c r="AGX263" s="901"/>
      <c r="AGY263" s="901"/>
      <c r="AGZ263" s="901"/>
      <c r="AHA263" s="901"/>
      <c r="AHB263" s="901"/>
      <c r="AHC263" s="901"/>
      <c r="AHD263" s="901"/>
      <c r="AHE263" s="901"/>
      <c r="AHF263" s="901"/>
      <c r="AHG263" s="901"/>
      <c r="AHH263" s="901"/>
      <c r="AHI263" s="901"/>
      <c r="AHJ263" s="901"/>
      <c r="AHK263" s="901"/>
      <c r="AHL263" s="901"/>
      <c r="AHM263" s="901"/>
      <c r="AHN263" s="901"/>
      <c r="AHO263" s="901"/>
      <c r="AHP263" s="901"/>
      <c r="AHQ263" s="901"/>
      <c r="AHR263" s="901"/>
      <c r="AHS263" s="901"/>
      <c r="AHT263" s="901"/>
      <c r="AHU263" s="901"/>
      <c r="AHV263" s="901"/>
      <c r="AHW263" s="901"/>
      <c r="AHX263" s="901"/>
      <c r="AHY263" s="901"/>
      <c r="AHZ263" s="901"/>
      <c r="AIA263" s="901"/>
      <c r="AIB263" s="901"/>
      <c r="AIC263" s="901"/>
      <c r="AID263" s="901"/>
      <c r="AIE263" s="901"/>
      <c r="AIF263" s="901"/>
      <c r="AIG263" s="901"/>
      <c r="AIH263" s="901"/>
      <c r="AII263" s="901"/>
      <c r="AIJ263" s="901"/>
      <c r="AIK263" s="901"/>
      <c r="AIL263" s="901"/>
      <c r="AIM263" s="901"/>
      <c r="AIN263" s="901"/>
      <c r="AIO263" s="901"/>
      <c r="AIP263" s="901"/>
      <c r="AIQ263" s="901"/>
      <c r="AIR263" s="901"/>
      <c r="AIS263" s="901"/>
      <c r="AIT263" s="901"/>
      <c r="AIU263" s="901"/>
      <c r="AIV263" s="901"/>
      <c r="AIW263" s="901"/>
      <c r="AIX263" s="901"/>
      <c r="AIY263" s="901"/>
      <c r="AIZ263" s="901"/>
      <c r="AJA263" s="901"/>
      <c r="AJB263" s="901"/>
      <c r="AJC263" s="901"/>
      <c r="AJD263" s="901"/>
      <c r="AJE263" s="901"/>
      <c r="AJF263" s="901"/>
      <c r="AJG263" s="901"/>
      <c r="AJH263" s="901"/>
      <c r="AJI263" s="901"/>
      <c r="AJJ263" s="901"/>
      <c r="AJK263" s="901"/>
      <c r="AJL263" s="901"/>
      <c r="AJM263" s="901"/>
      <c r="AJN263" s="901"/>
      <c r="AJO263" s="901"/>
      <c r="AJP263" s="901"/>
      <c r="AJQ263" s="901"/>
      <c r="AJR263" s="901"/>
      <c r="AJS263" s="901"/>
      <c r="AJT263" s="901"/>
      <c r="AJU263" s="901"/>
      <c r="AJV263" s="901"/>
      <c r="AJW263" s="901"/>
      <c r="AJX263" s="901"/>
      <c r="AJY263" s="901"/>
      <c r="AJZ263" s="901"/>
      <c r="AKA263" s="901"/>
      <c r="AKB263" s="901"/>
      <c r="AKC263" s="901"/>
      <c r="AKD263" s="901"/>
      <c r="AKE263" s="901"/>
      <c r="AKF263" s="901"/>
      <c r="AKG263" s="901"/>
      <c r="AKH263" s="901"/>
      <c r="AKI263" s="901"/>
      <c r="AKJ263" s="901"/>
      <c r="AKK263" s="901"/>
      <c r="AKL263" s="901"/>
      <c r="AKM263" s="901"/>
      <c r="AKN263" s="901"/>
      <c r="AKO263" s="901"/>
      <c r="AKP263" s="901"/>
      <c r="AKQ263" s="901"/>
      <c r="AKR263" s="901"/>
      <c r="AKS263" s="901"/>
      <c r="AKT263" s="901"/>
      <c r="AKU263" s="901"/>
      <c r="AKV263" s="901"/>
      <c r="AKW263" s="901"/>
      <c r="AKX263" s="901"/>
      <c r="AKY263" s="901"/>
      <c r="AKZ263" s="901"/>
      <c r="ALA263" s="901"/>
      <c r="ALB263" s="901"/>
      <c r="ALC263" s="901"/>
      <c r="ALD263" s="901"/>
      <c r="ALE263" s="901"/>
      <c r="ALF263" s="901"/>
      <c r="ALG263" s="901"/>
      <c r="ALH263" s="901"/>
      <c r="ALI263" s="901"/>
      <c r="ALJ263" s="901"/>
      <c r="ALK263" s="901"/>
      <c r="ALL263" s="901"/>
      <c r="ALM263" s="901"/>
      <c r="ALN263" s="901"/>
      <c r="ALO263" s="901"/>
      <c r="ALP263" s="901"/>
      <c r="ALQ263" s="901"/>
      <c r="ALR263" s="901"/>
      <c r="ALS263" s="901"/>
      <c r="ALT263" s="901"/>
      <c r="ALU263" s="901"/>
      <c r="ALV263" s="901"/>
      <c r="ALW263" s="901"/>
      <c r="ALX263" s="901"/>
      <c r="ALY263" s="901"/>
      <c r="ALZ263" s="901"/>
      <c r="AMA263" s="901"/>
      <c r="AMB263" s="901"/>
      <c r="AMC263" s="901"/>
      <c r="AMD263" s="901"/>
      <c r="AME263" s="901"/>
      <c r="AMF263" s="901"/>
      <c r="AMG263" s="901"/>
      <c r="AMH263" s="901"/>
      <c r="AMI263" s="901"/>
      <c r="AMJ263" s="901"/>
      <c r="AMK263" s="901"/>
      <c r="AML263" s="901"/>
    </row>
    <row r="264" spans="1:1026">
      <c r="A264" s="144"/>
      <c r="B264" s="680"/>
      <c r="C264" s="680"/>
      <c r="D264" s="680"/>
      <c r="E264" s="676"/>
      <c r="F264" s="680"/>
      <c r="G264" s="145"/>
      <c r="H264" s="146" t="s">
        <v>273</v>
      </c>
      <c r="I264" s="495">
        <f t="shared" ref="I264:P264" si="102">SUM(I259:I263)</f>
        <v>5273</v>
      </c>
      <c r="J264" s="496">
        <f t="shared" si="102"/>
        <v>7993.7</v>
      </c>
      <c r="K264" s="495">
        <f t="shared" si="102"/>
        <v>11300</v>
      </c>
      <c r="L264" s="496">
        <f t="shared" si="102"/>
        <v>7425.49</v>
      </c>
      <c r="M264" s="495">
        <f t="shared" si="102"/>
        <v>11300</v>
      </c>
      <c r="N264" s="496">
        <f t="shared" si="102"/>
        <v>13906.73</v>
      </c>
      <c r="O264" s="497">
        <f t="shared" si="102"/>
        <v>11300</v>
      </c>
      <c r="P264" s="496">
        <f t="shared" si="102"/>
        <v>2403.38</v>
      </c>
      <c r="Q264" s="497">
        <v>10550</v>
      </c>
      <c r="R264" s="496">
        <f>SUM(R259:R263)</f>
        <v>3281.9300000000003</v>
      </c>
      <c r="S264" s="499">
        <f>SUM(S259:S263)</f>
        <v>11500</v>
      </c>
      <c r="T264" s="499">
        <f>SUM(T259:T263)</f>
        <v>11500</v>
      </c>
      <c r="U264" s="499"/>
      <c r="V264" s="499">
        <f>SUM(V259:V263)</f>
        <v>11700</v>
      </c>
      <c r="W264" s="500">
        <f>SUM(W259:W263)</f>
        <v>-3839.31</v>
      </c>
      <c r="X264" s="501">
        <f>SUM(X259:X263)</f>
        <v>10600</v>
      </c>
      <c r="Y264" s="502">
        <v>-2166.19</v>
      </c>
      <c r="Z264" s="501">
        <f>SUM(Z259:Z263)</f>
        <v>10600</v>
      </c>
      <c r="AA264" s="501">
        <f>SUM(AA259:AA263)</f>
        <v>-6939.67</v>
      </c>
      <c r="AB264" s="501">
        <f>SUM(AB259:AB263)</f>
        <v>9100</v>
      </c>
      <c r="AC264" s="509">
        <v>-6939.67</v>
      </c>
      <c r="AD264" s="501">
        <f>SUM(AD259:AD263)</f>
        <v>10000</v>
      </c>
      <c r="AE264" s="501">
        <f t="shared" ref="AE264" si="103">SUM(AE259:AE263)</f>
        <v>-11847.85</v>
      </c>
      <c r="AF264" s="501">
        <f>SUM(AF259:AF263)</f>
        <v>10000</v>
      </c>
      <c r="AG264" s="501">
        <f t="shared" ref="AG264" si="104">SUM(AG259:AG263)</f>
        <v>-4794.4699999999993</v>
      </c>
      <c r="AH264" s="501">
        <f>SUM(AH259:AH263)</f>
        <v>10000</v>
      </c>
      <c r="AI264" s="501">
        <f>SUM(AI259:AI263)</f>
        <v>11600</v>
      </c>
      <c r="AJ264" s="501">
        <f>SUM(AJ259:AJ263)</f>
        <v>11600</v>
      </c>
      <c r="AK264" s="702"/>
      <c r="AM264" s="106"/>
      <c r="AN264" s="106"/>
    </row>
    <row r="265" spans="1:1026">
      <c r="A265" s="80"/>
      <c r="B265" s="14"/>
      <c r="C265" s="14"/>
      <c r="D265" s="14"/>
      <c r="E265" s="15"/>
      <c r="F265" s="14"/>
      <c r="G265" s="81"/>
      <c r="H265" s="251"/>
      <c r="I265" s="281"/>
      <c r="J265" s="289"/>
      <c r="K265" s="281"/>
      <c r="L265" s="289"/>
      <c r="M265" s="281"/>
      <c r="N265" s="289"/>
      <c r="O265" s="121"/>
      <c r="P265" s="282"/>
      <c r="Q265" s="121"/>
      <c r="R265" s="282"/>
      <c r="S265" s="283"/>
      <c r="T265" s="283"/>
      <c r="U265" s="283"/>
      <c r="V265" s="283"/>
      <c r="W265" s="284"/>
      <c r="X265" s="285"/>
      <c r="Y265" s="286"/>
      <c r="Z265" s="287"/>
      <c r="AA265" s="287"/>
      <c r="AB265" s="287"/>
      <c r="AC265" s="288"/>
      <c r="AD265" s="287"/>
      <c r="AE265" s="288"/>
      <c r="AF265" s="287"/>
      <c r="AG265" s="753"/>
      <c r="AH265" s="287"/>
      <c r="AI265" s="287"/>
      <c r="AJ265" s="287"/>
      <c r="AK265" s="706"/>
      <c r="AM265" s="106"/>
      <c r="AN265" s="106"/>
    </row>
    <row r="266" spans="1:1026">
      <c r="A266" s="222"/>
      <c r="B266" s="678"/>
      <c r="C266" s="678"/>
      <c r="D266" s="678"/>
      <c r="E266" s="681"/>
      <c r="F266" s="678"/>
      <c r="G266" s="223"/>
      <c r="H266" s="224" t="s">
        <v>274</v>
      </c>
      <c r="I266" s="517">
        <f t="shared" ref="I266:O266" si="105">I244+I254+I256+I264</f>
        <v>105842</v>
      </c>
      <c r="J266" s="518">
        <f t="shared" si="105"/>
        <v>104511.76</v>
      </c>
      <c r="K266" s="517">
        <f t="shared" si="105"/>
        <v>124200</v>
      </c>
      <c r="L266" s="518">
        <f t="shared" si="105"/>
        <v>103726.75</v>
      </c>
      <c r="M266" s="517">
        <f t="shared" si="105"/>
        <v>122345.20999999999</v>
      </c>
      <c r="N266" s="518">
        <f t="shared" si="105"/>
        <v>121488.10999999999</v>
      </c>
      <c r="O266" s="519">
        <f t="shared" si="105"/>
        <v>126700</v>
      </c>
      <c r="P266" s="520">
        <f>SUM(P244,P254,P264)</f>
        <v>97594.92</v>
      </c>
      <c r="Q266" s="519">
        <v>126625.60000000001</v>
      </c>
      <c r="R266" s="520">
        <f>SUM(R244,R254,R264)</f>
        <v>103791.18</v>
      </c>
      <c r="S266" s="521">
        <f>S244+S254+S256+S264</f>
        <v>134000</v>
      </c>
      <c r="T266" s="521">
        <f>T244+T254+T256+T264</f>
        <v>134000</v>
      </c>
      <c r="U266" s="521"/>
      <c r="V266" s="521">
        <f>V244+V254+V256+V264</f>
        <v>131315.59999999998</v>
      </c>
      <c r="W266" s="522">
        <f>W244+W254+W256+W264</f>
        <v>-105675.23999999999</v>
      </c>
      <c r="X266" s="523">
        <f>X244+X254+X256+X264</f>
        <v>134620</v>
      </c>
      <c r="Y266" s="471">
        <v>-64810.93</v>
      </c>
      <c r="Z266" s="523">
        <f>Z244+Z254+Z256+Z264</f>
        <v>135220</v>
      </c>
      <c r="AA266" s="523">
        <f>AA244+AA254+AA256+AA264</f>
        <v>-114673.14</v>
      </c>
      <c r="AB266" s="523">
        <f>AB244+AB254+AB256+AB264</f>
        <v>145520</v>
      </c>
      <c r="AC266" s="880">
        <v>-103008.86</v>
      </c>
      <c r="AD266" s="523">
        <f>AD244+AD254+AD256+AD264</f>
        <v>137920</v>
      </c>
      <c r="AE266" s="523">
        <f t="shared" ref="AE266" si="106">AE244+AE254+AE256+AE264</f>
        <v>-143894.54</v>
      </c>
      <c r="AF266" s="523">
        <f>AF244+AF254+AF256+AF264</f>
        <v>145936</v>
      </c>
      <c r="AG266" s="523">
        <f t="shared" ref="AG266" si="107">AG244+AG254+AG256+AG264</f>
        <v>-24213.54</v>
      </c>
      <c r="AH266" s="523">
        <f>AH244+AH254+AH256+AH264</f>
        <v>145936</v>
      </c>
      <c r="AI266" s="523">
        <f>AI244+AI254+AI256+AI264</f>
        <v>155736</v>
      </c>
      <c r="AJ266" s="523">
        <f>AJ244+AJ254+AJ256+AJ264</f>
        <v>155736</v>
      </c>
      <c r="AK266" s="708"/>
      <c r="AM266" s="106"/>
      <c r="AN266" s="106"/>
    </row>
    <row r="267" spans="1:1026">
      <c r="A267" s="235">
        <v>5</v>
      </c>
      <c r="B267" s="682" t="s">
        <v>16</v>
      </c>
      <c r="C267" s="682">
        <v>5</v>
      </c>
      <c r="D267" s="682" t="s">
        <v>16</v>
      </c>
      <c r="E267" s="683" t="s">
        <v>70</v>
      </c>
      <c r="F267" s="682" t="s">
        <v>16</v>
      </c>
      <c r="G267" s="236" t="s">
        <v>70</v>
      </c>
      <c r="H267" s="55" t="s">
        <v>33</v>
      </c>
      <c r="I267" s="528"/>
      <c r="J267" s="528"/>
      <c r="K267" s="528"/>
      <c r="L267" s="528"/>
      <c r="M267" s="528"/>
      <c r="N267" s="528"/>
      <c r="O267" s="529"/>
      <c r="P267" s="529"/>
      <c r="Q267" s="529"/>
      <c r="R267" s="529"/>
      <c r="S267" s="530"/>
      <c r="T267" s="530"/>
      <c r="U267" s="530"/>
      <c r="V267" s="530"/>
      <c r="W267" s="530"/>
      <c r="X267" s="531"/>
      <c r="Y267" s="63"/>
      <c r="Z267" s="63"/>
      <c r="AA267" s="63"/>
      <c r="AB267" s="63"/>
      <c r="AC267" s="237"/>
      <c r="AD267" s="63"/>
      <c r="AE267" s="237"/>
      <c r="AF267" s="63"/>
      <c r="AG267" s="742"/>
      <c r="AH267" s="63"/>
      <c r="AI267" s="63"/>
      <c r="AJ267" s="63"/>
      <c r="AK267" s="697"/>
      <c r="AM267" s="106"/>
      <c r="AN267" s="106"/>
    </row>
    <row r="268" spans="1:1026">
      <c r="A268" s="556">
        <v>5</v>
      </c>
      <c r="B268" s="557" t="s">
        <v>16</v>
      </c>
      <c r="C268" s="557">
        <v>5</v>
      </c>
      <c r="D268" s="557" t="s">
        <v>16</v>
      </c>
      <c r="E268" s="558" t="s">
        <v>81</v>
      </c>
      <c r="F268" s="557" t="s">
        <v>16</v>
      </c>
      <c r="G268" s="559" t="s">
        <v>70</v>
      </c>
      <c r="H268" s="238" t="s">
        <v>275</v>
      </c>
      <c r="I268" s="560"/>
      <c r="J268" s="560"/>
      <c r="K268" s="560"/>
      <c r="L268" s="560"/>
      <c r="M268" s="560"/>
      <c r="N268" s="560"/>
      <c r="O268" s="561"/>
      <c r="P268" s="561"/>
      <c r="Q268" s="561"/>
      <c r="R268" s="561"/>
      <c r="S268" s="562"/>
      <c r="T268" s="562"/>
      <c r="U268" s="562"/>
      <c r="V268" s="562"/>
      <c r="W268" s="562"/>
      <c r="X268" s="563"/>
      <c r="Y268" s="246"/>
      <c r="Z268" s="246"/>
      <c r="AA268" s="246"/>
      <c r="AB268" s="246"/>
      <c r="AC268" s="248"/>
      <c r="AD268" s="246"/>
      <c r="AE268" s="248"/>
      <c r="AF268" s="246"/>
      <c r="AG268" s="752"/>
      <c r="AH268" s="246"/>
      <c r="AI268" s="246"/>
      <c r="AJ268" s="246"/>
      <c r="AK268" s="710"/>
      <c r="AM268" s="106"/>
      <c r="AN268" s="106"/>
    </row>
    <row r="269" spans="1:1026">
      <c r="A269" s="80">
        <v>5</v>
      </c>
      <c r="B269" s="14" t="s">
        <v>16</v>
      </c>
      <c r="C269" s="14">
        <v>5</v>
      </c>
      <c r="D269" s="14" t="s">
        <v>16</v>
      </c>
      <c r="E269" s="15" t="s">
        <v>81</v>
      </c>
      <c r="F269" s="14" t="s">
        <v>16</v>
      </c>
      <c r="G269" s="81" t="s">
        <v>81</v>
      </c>
      <c r="H269" s="564" t="s">
        <v>276</v>
      </c>
      <c r="I269" s="463">
        <v>3450</v>
      </c>
      <c r="J269" s="413">
        <v>3709.34</v>
      </c>
      <c r="K269" s="412">
        <v>3450</v>
      </c>
      <c r="L269" s="413">
        <v>837.79</v>
      </c>
      <c r="M269" s="412">
        <v>3450</v>
      </c>
      <c r="N269" s="413">
        <v>1731.01</v>
      </c>
      <c r="O269" s="464">
        <v>3450</v>
      </c>
      <c r="P269" s="551">
        <v>100</v>
      </c>
      <c r="Q269" s="464">
        <v>3450</v>
      </c>
      <c r="R269" s="551">
        <v>353.8</v>
      </c>
      <c r="S269" s="465">
        <v>3450</v>
      </c>
      <c r="T269" s="465">
        <v>3450</v>
      </c>
      <c r="U269" s="465"/>
      <c r="V269" s="465">
        <v>3450</v>
      </c>
      <c r="W269" s="466">
        <v>-2369.04</v>
      </c>
      <c r="X269" s="467">
        <v>3450</v>
      </c>
      <c r="Y269" s="218">
        <v>-1246.53</v>
      </c>
      <c r="Z269" s="467">
        <v>3450</v>
      </c>
      <c r="AA269" s="548">
        <v>-3449.9</v>
      </c>
      <c r="AB269" s="467">
        <v>3450</v>
      </c>
      <c r="AC269" s="548">
        <v>-3449.9</v>
      </c>
      <c r="AD269" s="467">
        <v>3350</v>
      </c>
      <c r="AE269" s="548">
        <v>-3177.13</v>
      </c>
      <c r="AF269" s="467">
        <v>3350</v>
      </c>
      <c r="AG269" s="772">
        <v>-205.24</v>
      </c>
      <c r="AH269" s="467">
        <v>3350</v>
      </c>
      <c r="AI269" s="467">
        <v>3350</v>
      </c>
      <c r="AJ269" s="467">
        <v>3350</v>
      </c>
      <c r="AK269" s="707" t="s">
        <v>277</v>
      </c>
      <c r="AM269" s="106"/>
      <c r="AN269" s="106"/>
    </row>
    <row r="270" spans="1:1026">
      <c r="A270" s="144"/>
      <c r="B270" s="680"/>
      <c r="C270" s="680"/>
      <c r="D270" s="680"/>
      <c r="E270" s="676"/>
      <c r="F270" s="680"/>
      <c r="G270" s="145"/>
      <c r="H270" s="146" t="s">
        <v>278</v>
      </c>
      <c r="I270" s="495">
        <f t="shared" ref="I270:O270" si="108">I269</f>
        <v>3450</v>
      </c>
      <c r="J270" s="496">
        <f t="shared" si="108"/>
        <v>3709.34</v>
      </c>
      <c r="K270" s="495">
        <f t="shared" si="108"/>
        <v>3450</v>
      </c>
      <c r="L270" s="496">
        <f t="shared" si="108"/>
        <v>837.79</v>
      </c>
      <c r="M270" s="495">
        <f t="shared" si="108"/>
        <v>3450</v>
      </c>
      <c r="N270" s="496">
        <f t="shared" si="108"/>
        <v>1731.01</v>
      </c>
      <c r="O270" s="497">
        <f t="shared" si="108"/>
        <v>3450</v>
      </c>
      <c r="P270" s="498">
        <f>(P269)</f>
        <v>100</v>
      </c>
      <c r="Q270" s="497">
        <v>3450</v>
      </c>
      <c r="R270" s="498">
        <f>(R269)</f>
        <v>353.8</v>
      </c>
      <c r="S270" s="499">
        <f>S269</f>
        <v>3450</v>
      </c>
      <c r="T270" s="499">
        <f>T269</f>
        <v>3450</v>
      </c>
      <c r="U270" s="499"/>
      <c r="V270" s="499">
        <f>V269</f>
        <v>3450</v>
      </c>
      <c r="W270" s="500">
        <f>W269</f>
        <v>-2369.04</v>
      </c>
      <c r="X270" s="501">
        <f>X269</f>
        <v>3450</v>
      </c>
      <c r="Y270" s="502">
        <v>-1246.53</v>
      </c>
      <c r="Z270" s="501">
        <f>Z269</f>
        <v>3450</v>
      </c>
      <c r="AA270" s="509">
        <v>-3449.9</v>
      </c>
      <c r="AB270" s="501">
        <f>AB269</f>
        <v>3450</v>
      </c>
      <c r="AC270" s="509">
        <v>-3449.9</v>
      </c>
      <c r="AD270" s="501">
        <f>AD269</f>
        <v>3350</v>
      </c>
      <c r="AE270" s="501">
        <f t="shared" ref="AE270" si="109">AE269</f>
        <v>-3177.13</v>
      </c>
      <c r="AF270" s="501">
        <f>AF269</f>
        <v>3350</v>
      </c>
      <c r="AG270" s="501">
        <f t="shared" ref="AG270" si="110">AG269</f>
        <v>-205.24</v>
      </c>
      <c r="AH270" s="501">
        <f>AH269</f>
        <v>3350</v>
      </c>
      <c r="AI270" s="501">
        <f>AI269</f>
        <v>3350</v>
      </c>
      <c r="AJ270" s="501">
        <f>AJ269</f>
        <v>3350</v>
      </c>
      <c r="AK270" s="702"/>
      <c r="AM270" s="106"/>
      <c r="AN270" s="106"/>
    </row>
    <row r="271" spans="1:1026">
      <c r="A271" s="80"/>
      <c r="B271" s="14"/>
      <c r="C271" s="14"/>
      <c r="D271" s="14"/>
      <c r="E271" s="15"/>
      <c r="F271" s="14"/>
      <c r="G271" s="81"/>
      <c r="H271" s="565"/>
      <c r="I271" s="396"/>
      <c r="J271" s="397"/>
      <c r="K271" s="396"/>
      <c r="L271" s="397"/>
      <c r="M271" s="396"/>
      <c r="N271" s="397"/>
      <c r="O271" s="427"/>
      <c r="P271" s="428"/>
      <c r="Q271" s="427"/>
      <c r="R271" s="428"/>
      <c r="S271" s="429"/>
      <c r="T271" s="429"/>
      <c r="U271" s="429"/>
      <c r="V271" s="429"/>
      <c r="W271" s="430"/>
      <c r="X271" s="431"/>
      <c r="Y271" s="286"/>
      <c r="Z271" s="431"/>
      <c r="AA271" s="566"/>
      <c r="AB271" s="431"/>
      <c r="AC271" s="566"/>
      <c r="AD271" s="431"/>
      <c r="AE271" s="566"/>
      <c r="AF271" s="431"/>
      <c r="AG271" s="775"/>
      <c r="AH271" s="431"/>
      <c r="AI271" s="431"/>
      <c r="AJ271" s="431"/>
      <c r="AK271" s="706"/>
      <c r="AM271" s="106"/>
      <c r="AN271" s="106"/>
    </row>
    <row r="272" spans="1:1026">
      <c r="A272" s="556">
        <v>5</v>
      </c>
      <c r="B272" s="557" t="s">
        <v>16</v>
      </c>
      <c r="C272" s="557">
        <v>5</v>
      </c>
      <c r="D272" s="557" t="s">
        <v>16</v>
      </c>
      <c r="E272" s="558" t="s">
        <v>84</v>
      </c>
      <c r="F272" s="557" t="s">
        <v>16</v>
      </c>
      <c r="G272" s="559" t="s">
        <v>70</v>
      </c>
      <c r="H272" s="238" t="s">
        <v>279</v>
      </c>
      <c r="I272" s="534"/>
      <c r="J272" s="560"/>
      <c r="K272" s="534"/>
      <c r="L272" s="560"/>
      <c r="M272" s="534"/>
      <c r="N272" s="560"/>
      <c r="O272" s="567"/>
      <c r="P272" s="560"/>
      <c r="Q272" s="567"/>
      <c r="R272" s="560"/>
      <c r="S272" s="568"/>
      <c r="T272" s="568"/>
      <c r="U272" s="568"/>
      <c r="V272" s="568"/>
      <c r="W272" s="562"/>
      <c r="X272" s="569"/>
      <c r="Y272" s="246"/>
      <c r="Z272" s="569"/>
      <c r="AA272" s="570"/>
      <c r="AB272" s="569"/>
      <c r="AC272" s="570"/>
      <c r="AD272" s="569"/>
      <c r="AE272" s="570"/>
      <c r="AF272" s="569"/>
      <c r="AG272" s="776"/>
      <c r="AH272" s="569"/>
      <c r="AI272" s="569"/>
      <c r="AJ272" s="569"/>
      <c r="AK272" s="710"/>
      <c r="AM272" s="106"/>
      <c r="AN272" s="106"/>
    </row>
    <row r="273" spans="1:40">
      <c r="A273" s="80">
        <v>5</v>
      </c>
      <c r="B273" s="14" t="s">
        <v>16</v>
      </c>
      <c r="C273" s="14">
        <v>5</v>
      </c>
      <c r="D273" s="14" t="s">
        <v>16</v>
      </c>
      <c r="E273" s="15" t="s">
        <v>84</v>
      </c>
      <c r="F273" s="14" t="s">
        <v>16</v>
      </c>
      <c r="G273" s="81" t="s">
        <v>81</v>
      </c>
      <c r="H273" s="571" t="s">
        <v>280</v>
      </c>
      <c r="I273" s="463">
        <v>830</v>
      </c>
      <c r="J273" s="413">
        <v>682.95</v>
      </c>
      <c r="K273" s="412">
        <v>830</v>
      </c>
      <c r="L273" s="413">
        <v>81.5</v>
      </c>
      <c r="M273" s="412">
        <v>830</v>
      </c>
      <c r="N273" s="413">
        <v>81.5</v>
      </c>
      <c r="O273" s="464">
        <v>830</v>
      </c>
      <c r="P273" s="413">
        <v>0</v>
      </c>
      <c r="Q273" s="464">
        <v>830</v>
      </c>
      <c r="R273" s="413">
        <v>0</v>
      </c>
      <c r="S273" s="465">
        <v>830</v>
      </c>
      <c r="T273" s="465">
        <v>830</v>
      </c>
      <c r="U273" s="465">
        <v>0</v>
      </c>
      <c r="V273" s="465">
        <v>830</v>
      </c>
      <c r="W273" s="466">
        <v>0</v>
      </c>
      <c r="X273" s="467">
        <v>830</v>
      </c>
      <c r="Y273" s="218">
        <v>-339.4</v>
      </c>
      <c r="Z273" s="467">
        <v>830</v>
      </c>
      <c r="AA273" s="548">
        <v>0</v>
      </c>
      <c r="AB273" s="467">
        <v>830</v>
      </c>
      <c r="AC273" s="548">
        <v>0</v>
      </c>
      <c r="AD273" s="467">
        <v>300</v>
      </c>
      <c r="AE273" s="548"/>
      <c r="AF273" s="862">
        <v>250</v>
      </c>
      <c r="AG273" s="772"/>
      <c r="AH273" s="862">
        <v>250</v>
      </c>
      <c r="AI273" s="862">
        <v>250</v>
      </c>
      <c r="AJ273" s="862">
        <v>250</v>
      </c>
      <c r="AK273" s="707" t="s">
        <v>277</v>
      </c>
      <c r="AM273" s="106"/>
      <c r="AN273" s="106"/>
    </row>
    <row r="274" spans="1:40">
      <c r="A274" s="80">
        <v>5</v>
      </c>
      <c r="B274" s="14" t="s">
        <v>16</v>
      </c>
      <c r="C274" s="14">
        <v>5</v>
      </c>
      <c r="D274" s="14" t="s">
        <v>16</v>
      </c>
      <c r="E274" s="15" t="s">
        <v>84</v>
      </c>
      <c r="F274" s="14" t="s">
        <v>16</v>
      </c>
      <c r="G274" s="81" t="s">
        <v>84</v>
      </c>
      <c r="H274" s="565" t="s">
        <v>281</v>
      </c>
      <c r="I274" s="396">
        <v>950</v>
      </c>
      <c r="J274" s="321">
        <v>417.56</v>
      </c>
      <c r="K274" s="320">
        <v>950</v>
      </c>
      <c r="L274" s="321">
        <v>52.7</v>
      </c>
      <c r="M274" s="320">
        <v>950</v>
      </c>
      <c r="N274" s="321">
        <v>469</v>
      </c>
      <c r="O274" s="322">
        <v>950</v>
      </c>
      <c r="P274" s="321">
        <v>0</v>
      </c>
      <c r="Q274" s="322">
        <v>950</v>
      </c>
      <c r="R274" s="321">
        <v>0</v>
      </c>
      <c r="S274" s="324">
        <v>950</v>
      </c>
      <c r="T274" s="324">
        <v>950</v>
      </c>
      <c r="U274" s="324">
        <v>-240</v>
      </c>
      <c r="V274" s="324">
        <v>950</v>
      </c>
      <c r="W274" s="325">
        <v>-240</v>
      </c>
      <c r="X274" s="326">
        <v>950</v>
      </c>
      <c r="Y274" s="116">
        <v>-640</v>
      </c>
      <c r="Z274" s="326">
        <v>950</v>
      </c>
      <c r="AA274" s="511">
        <v>-884.69</v>
      </c>
      <c r="AB274" s="326">
        <v>950</v>
      </c>
      <c r="AC274" s="511">
        <v>-884.69</v>
      </c>
      <c r="AD274" s="326">
        <v>550</v>
      </c>
      <c r="AE274" s="511">
        <v>-706.41</v>
      </c>
      <c r="AF274" s="861">
        <v>450</v>
      </c>
      <c r="AG274" s="772">
        <v>-435.71</v>
      </c>
      <c r="AH274" s="861">
        <v>450</v>
      </c>
      <c r="AI274" s="861">
        <v>450</v>
      </c>
      <c r="AJ274" s="861">
        <v>450</v>
      </c>
      <c r="AK274" s="707" t="s">
        <v>277</v>
      </c>
      <c r="AM274" s="106"/>
      <c r="AN274" s="106"/>
    </row>
    <row r="275" spans="1:40">
      <c r="A275" s="80">
        <v>5</v>
      </c>
      <c r="B275" s="14" t="s">
        <v>16</v>
      </c>
      <c r="C275" s="14">
        <v>5</v>
      </c>
      <c r="D275" s="14" t="s">
        <v>16</v>
      </c>
      <c r="E275" s="15" t="s">
        <v>84</v>
      </c>
      <c r="F275" s="14" t="s">
        <v>16</v>
      </c>
      <c r="G275" s="81" t="s">
        <v>86</v>
      </c>
      <c r="H275" s="565" t="s">
        <v>282</v>
      </c>
      <c r="I275" s="396">
        <v>970</v>
      </c>
      <c r="J275" s="321">
        <v>905.3</v>
      </c>
      <c r="K275" s="320">
        <v>970</v>
      </c>
      <c r="L275" s="321">
        <v>100</v>
      </c>
      <c r="M275" s="320">
        <v>970</v>
      </c>
      <c r="N275" s="321">
        <v>200</v>
      </c>
      <c r="O275" s="322">
        <v>970</v>
      </c>
      <c r="P275" s="321">
        <v>44.67</v>
      </c>
      <c r="Q275" s="322">
        <v>970</v>
      </c>
      <c r="R275" s="321">
        <v>44.67</v>
      </c>
      <c r="S275" s="324">
        <v>970</v>
      </c>
      <c r="T275" s="324">
        <v>970</v>
      </c>
      <c r="U275" s="324">
        <v>0</v>
      </c>
      <c r="V275" s="324">
        <v>970</v>
      </c>
      <c r="W275" s="325">
        <v>-98.75</v>
      </c>
      <c r="X275" s="326">
        <v>970</v>
      </c>
      <c r="Y275" s="116">
        <v>-315.11</v>
      </c>
      <c r="Z275" s="326">
        <v>970</v>
      </c>
      <c r="AA275" s="511">
        <v>-965.11</v>
      </c>
      <c r="AB275" s="326">
        <v>970</v>
      </c>
      <c r="AC275" s="511">
        <v>-965.11</v>
      </c>
      <c r="AD275" s="326">
        <v>800</v>
      </c>
      <c r="AE275" s="511">
        <v>-886.86</v>
      </c>
      <c r="AF275" s="861">
        <v>590</v>
      </c>
      <c r="AG275" s="772"/>
      <c r="AH275" s="861">
        <v>590</v>
      </c>
      <c r="AI275" s="861">
        <v>590</v>
      </c>
      <c r="AJ275" s="861">
        <v>590</v>
      </c>
      <c r="AK275" s="707" t="s">
        <v>445</v>
      </c>
      <c r="AM275" s="106"/>
      <c r="AN275" s="106"/>
    </row>
    <row r="276" spans="1:40">
      <c r="A276" s="80">
        <v>5</v>
      </c>
      <c r="B276" s="14" t="s">
        <v>16</v>
      </c>
      <c r="C276" s="14">
        <v>5</v>
      </c>
      <c r="D276" s="14" t="s">
        <v>16</v>
      </c>
      <c r="E276" s="15" t="s">
        <v>84</v>
      </c>
      <c r="F276" s="14" t="s">
        <v>16</v>
      </c>
      <c r="G276" s="81" t="s">
        <v>73</v>
      </c>
      <c r="H276" s="565" t="s">
        <v>283</v>
      </c>
      <c r="I276" s="396">
        <v>1040</v>
      </c>
      <c r="J276" s="321">
        <v>615.27</v>
      </c>
      <c r="K276" s="320">
        <v>1040</v>
      </c>
      <c r="L276" s="321">
        <v>116.66</v>
      </c>
      <c r="M276" s="320">
        <v>1040</v>
      </c>
      <c r="N276" s="321">
        <v>131.66</v>
      </c>
      <c r="O276" s="322">
        <v>1040</v>
      </c>
      <c r="P276" s="321">
        <v>0</v>
      </c>
      <c r="Q276" s="322">
        <v>1040</v>
      </c>
      <c r="R276" s="321">
        <v>0</v>
      </c>
      <c r="S276" s="324">
        <v>1040</v>
      </c>
      <c r="T276" s="324">
        <v>1040</v>
      </c>
      <c r="U276" s="324">
        <v>0</v>
      </c>
      <c r="V276" s="324">
        <v>1040</v>
      </c>
      <c r="W276" s="325">
        <v>0</v>
      </c>
      <c r="X276" s="326">
        <v>1040</v>
      </c>
      <c r="Y276" s="116">
        <v>-185.9</v>
      </c>
      <c r="Z276" s="326">
        <v>1040</v>
      </c>
      <c r="AA276" s="511">
        <v>-185.9</v>
      </c>
      <c r="AB276" s="326">
        <v>1040</v>
      </c>
      <c r="AC276" s="511">
        <v>-185.9</v>
      </c>
      <c r="AD276" s="326">
        <v>550</v>
      </c>
      <c r="AE276" s="511">
        <v>-44.17</v>
      </c>
      <c r="AF276" s="861">
        <v>350</v>
      </c>
      <c r="AG276" s="772"/>
      <c r="AH276" s="861">
        <v>350</v>
      </c>
      <c r="AI276" s="861">
        <v>350</v>
      </c>
      <c r="AJ276" s="861">
        <v>350</v>
      </c>
      <c r="AK276" s="707" t="s">
        <v>277</v>
      </c>
      <c r="AM276" s="106"/>
      <c r="AN276" s="106"/>
    </row>
    <row r="277" spans="1:40">
      <c r="A277" s="80">
        <v>5</v>
      </c>
      <c r="B277" s="14" t="s">
        <v>16</v>
      </c>
      <c r="C277" s="14">
        <v>5</v>
      </c>
      <c r="D277" s="14" t="s">
        <v>16</v>
      </c>
      <c r="E277" s="15" t="s">
        <v>84</v>
      </c>
      <c r="F277" s="14" t="s">
        <v>16</v>
      </c>
      <c r="G277" s="81" t="s">
        <v>77</v>
      </c>
      <c r="H277" s="565" t="s">
        <v>284</v>
      </c>
      <c r="I277" s="396">
        <v>1000</v>
      </c>
      <c r="J277" s="321">
        <v>253.38</v>
      </c>
      <c r="K277" s="320">
        <v>1000</v>
      </c>
      <c r="L277" s="321">
        <v>212.18</v>
      </c>
      <c r="M277" s="320">
        <v>1000</v>
      </c>
      <c r="N277" s="321">
        <v>212.18</v>
      </c>
      <c r="O277" s="322">
        <v>1000</v>
      </c>
      <c r="P277" s="321">
        <v>0</v>
      </c>
      <c r="Q277" s="322">
        <v>1000</v>
      </c>
      <c r="R277" s="321">
        <v>20</v>
      </c>
      <c r="S277" s="324">
        <v>1000</v>
      </c>
      <c r="T277" s="324">
        <v>1000</v>
      </c>
      <c r="U277" s="324">
        <v>-183.3</v>
      </c>
      <c r="V277" s="324">
        <v>1000</v>
      </c>
      <c r="W277" s="325">
        <v>-223.37</v>
      </c>
      <c r="X277" s="326">
        <v>1000</v>
      </c>
      <c r="Y277" s="116">
        <v>-882.89</v>
      </c>
      <c r="Z277" s="326">
        <v>1000</v>
      </c>
      <c r="AA277" s="511">
        <v>-1000</v>
      </c>
      <c r="AB277" s="326">
        <v>1000</v>
      </c>
      <c r="AC277" s="511">
        <v>-1000</v>
      </c>
      <c r="AD277" s="326">
        <v>550</v>
      </c>
      <c r="AE277" s="511">
        <v>-1034.33</v>
      </c>
      <c r="AF277" s="861">
        <v>700</v>
      </c>
      <c r="AG277" s="772">
        <v>-491.68</v>
      </c>
      <c r="AH277" s="861">
        <v>700</v>
      </c>
      <c r="AI277" s="861">
        <v>700</v>
      </c>
      <c r="AJ277" s="861">
        <v>700</v>
      </c>
      <c r="AK277" s="707" t="s">
        <v>428</v>
      </c>
      <c r="AM277" s="106"/>
      <c r="AN277" s="106"/>
    </row>
    <row r="278" spans="1:40">
      <c r="A278" s="80">
        <v>5</v>
      </c>
      <c r="B278" s="14" t="s">
        <v>16</v>
      </c>
      <c r="C278" s="14">
        <v>5</v>
      </c>
      <c r="D278" s="14" t="s">
        <v>16</v>
      </c>
      <c r="E278" s="15" t="s">
        <v>84</v>
      </c>
      <c r="F278" s="14" t="s">
        <v>16</v>
      </c>
      <c r="G278" s="81" t="s">
        <v>118</v>
      </c>
      <c r="H278" s="565" t="s">
        <v>285</v>
      </c>
      <c r="I278" s="396">
        <v>820</v>
      </c>
      <c r="J278" s="321">
        <v>609.47</v>
      </c>
      <c r="K278" s="320">
        <v>820</v>
      </c>
      <c r="L278" s="321">
        <v>295.51</v>
      </c>
      <c r="M278" s="320">
        <v>820</v>
      </c>
      <c r="N278" s="321">
        <v>295.51</v>
      </c>
      <c r="O278" s="322">
        <v>820</v>
      </c>
      <c r="P278" s="321">
        <v>39.74</v>
      </c>
      <c r="Q278" s="322">
        <v>820</v>
      </c>
      <c r="R278" s="321">
        <v>39.74</v>
      </c>
      <c r="S278" s="324">
        <v>820</v>
      </c>
      <c r="T278" s="324">
        <v>820</v>
      </c>
      <c r="U278" s="324">
        <v>0</v>
      </c>
      <c r="V278" s="324">
        <v>820</v>
      </c>
      <c r="W278" s="325">
        <v>0</v>
      </c>
      <c r="X278" s="326">
        <v>820</v>
      </c>
      <c r="Y278" s="116">
        <v>-98.51</v>
      </c>
      <c r="Z278" s="326">
        <v>820</v>
      </c>
      <c r="AA278" s="511">
        <v>-594.75</v>
      </c>
      <c r="AB278" s="326">
        <v>820</v>
      </c>
      <c r="AC278" s="511">
        <v>-594.75</v>
      </c>
      <c r="AD278" s="326">
        <v>600</v>
      </c>
      <c r="AE278" s="511">
        <v>-551.41</v>
      </c>
      <c r="AF278" s="861">
        <v>550</v>
      </c>
      <c r="AG278" s="772">
        <v>-293.25</v>
      </c>
      <c r="AH278" s="861">
        <v>550</v>
      </c>
      <c r="AI278" s="861">
        <v>550</v>
      </c>
      <c r="AJ278" s="861">
        <v>550</v>
      </c>
      <c r="AK278" s="707" t="s">
        <v>277</v>
      </c>
      <c r="AM278" s="106"/>
      <c r="AN278" s="106"/>
    </row>
    <row r="279" spans="1:40">
      <c r="A279" s="80">
        <v>5</v>
      </c>
      <c r="B279" s="14" t="s">
        <v>16</v>
      </c>
      <c r="C279" s="14">
        <v>5</v>
      </c>
      <c r="D279" s="14" t="s">
        <v>16</v>
      </c>
      <c r="E279" s="15" t="s">
        <v>84</v>
      </c>
      <c r="F279" s="14" t="s">
        <v>16</v>
      </c>
      <c r="G279" s="81" t="s">
        <v>75</v>
      </c>
      <c r="H279" s="565" t="s">
        <v>286</v>
      </c>
      <c r="I279" s="396">
        <v>2960</v>
      </c>
      <c r="J279" s="321">
        <v>2959.09</v>
      </c>
      <c r="K279" s="320">
        <v>2960</v>
      </c>
      <c r="L279" s="321">
        <v>959.96</v>
      </c>
      <c r="M279" s="320">
        <v>2960</v>
      </c>
      <c r="N279" s="321">
        <v>3056.18</v>
      </c>
      <c r="O279" s="322">
        <v>2960</v>
      </c>
      <c r="P279" s="321">
        <v>483.63</v>
      </c>
      <c r="Q279" s="322">
        <v>2960</v>
      </c>
      <c r="R279" s="321">
        <v>1363</v>
      </c>
      <c r="S279" s="324">
        <v>2960</v>
      </c>
      <c r="T279" s="324">
        <v>2960</v>
      </c>
      <c r="U279" s="324">
        <v>-866.67</v>
      </c>
      <c r="V279" s="324">
        <v>2960</v>
      </c>
      <c r="W279" s="325">
        <v>-2302.04</v>
      </c>
      <c r="X279" s="326">
        <v>2960</v>
      </c>
      <c r="Y279" s="116">
        <v>-785.74</v>
      </c>
      <c r="Z279" s="326">
        <v>2960</v>
      </c>
      <c r="AA279" s="511">
        <v>-2899.53</v>
      </c>
      <c r="AB279" s="326">
        <v>2960</v>
      </c>
      <c r="AC279" s="511">
        <v>-2899.53</v>
      </c>
      <c r="AD279" s="326">
        <v>2960</v>
      </c>
      <c r="AE279" s="511">
        <v>-2938.74</v>
      </c>
      <c r="AF279" s="861">
        <v>2900</v>
      </c>
      <c r="AG279" s="772">
        <v>-388.41</v>
      </c>
      <c r="AH279" s="861">
        <v>2900</v>
      </c>
      <c r="AI279" s="861">
        <v>2900</v>
      </c>
      <c r="AJ279" s="861">
        <v>2900</v>
      </c>
      <c r="AK279" s="707" t="s">
        <v>445</v>
      </c>
      <c r="AM279" s="106"/>
      <c r="AN279" s="106"/>
    </row>
    <row r="280" spans="1:40">
      <c r="A280" s="80">
        <v>5</v>
      </c>
      <c r="B280" s="14" t="s">
        <v>16</v>
      </c>
      <c r="C280" s="14">
        <v>5</v>
      </c>
      <c r="D280" s="14" t="s">
        <v>16</v>
      </c>
      <c r="E280" s="15" t="s">
        <v>84</v>
      </c>
      <c r="F280" s="14" t="s">
        <v>16</v>
      </c>
      <c r="G280" s="81" t="s">
        <v>132</v>
      </c>
      <c r="H280" s="565" t="s">
        <v>287</v>
      </c>
      <c r="I280" s="396">
        <v>2160</v>
      </c>
      <c r="J280" s="321">
        <v>2011.78</v>
      </c>
      <c r="K280" s="320">
        <v>2160</v>
      </c>
      <c r="L280" s="321">
        <v>447.87</v>
      </c>
      <c r="M280" s="320">
        <v>2160</v>
      </c>
      <c r="N280" s="321">
        <v>1928.23</v>
      </c>
      <c r="O280" s="322">
        <v>2160</v>
      </c>
      <c r="P280" s="321">
        <v>200</v>
      </c>
      <c r="Q280" s="322">
        <v>2160</v>
      </c>
      <c r="R280" s="321">
        <v>106.49</v>
      </c>
      <c r="S280" s="324">
        <v>2160</v>
      </c>
      <c r="T280" s="324">
        <v>2160</v>
      </c>
      <c r="U280" s="324">
        <v>0</v>
      </c>
      <c r="V280" s="324">
        <v>2160</v>
      </c>
      <c r="W280" s="325">
        <v>0</v>
      </c>
      <c r="X280" s="326">
        <v>2160</v>
      </c>
      <c r="Y280" s="116">
        <v>0</v>
      </c>
      <c r="Z280" s="326">
        <v>2160</v>
      </c>
      <c r="AA280" s="511">
        <v>-1926.24</v>
      </c>
      <c r="AB280" s="326">
        <v>2160</v>
      </c>
      <c r="AC280" s="511">
        <v>-1926.24</v>
      </c>
      <c r="AD280" s="326">
        <v>1900</v>
      </c>
      <c r="AE280" s="511">
        <v>-1865.65</v>
      </c>
      <c r="AF280" s="861">
        <v>2000</v>
      </c>
      <c r="AG280" s="772">
        <v>-586.83000000000004</v>
      </c>
      <c r="AH280" s="861">
        <v>2000</v>
      </c>
      <c r="AI280" s="861">
        <v>2000</v>
      </c>
      <c r="AJ280" s="861">
        <v>2000</v>
      </c>
      <c r="AK280" s="707" t="s">
        <v>277</v>
      </c>
      <c r="AM280" s="106"/>
      <c r="AN280" s="106"/>
    </row>
    <row r="281" spans="1:40">
      <c r="A281" s="80">
        <v>5</v>
      </c>
      <c r="B281" s="14" t="s">
        <v>16</v>
      </c>
      <c r="C281" s="14">
        <v>5</v>
      </c>
      <c r="D281" s="14" t="s">
        <v>16</v>
      </c>
      <c r="E281" s="15" t="s">
        <v>84</v>
      </c>
      <c r="F281" s="14" t="s">
        <v>16</v>
      </c>
      <c r="G281" s="81" t="s">
        <v>136</v>
      </c>
      <c r="H281" s="565" t="s">
        <v>288</v>
      </c>
      <c r="I281" s="281">
        <v>1040</v>
      </c>
      <c r="J281" s="109">
        <v>1040</v>
      </c>
      <c r="K281" s="108">
        <v>1040</v>
      </c>
      <c r="L281" s="109">
        <v>342.2</v>
      </c>
      <c r="M281" s="108">
        <v>1040</v>
      </c>
      <c r="N281" s="109">
        <v>398.2</v>
      </c>
      <c r="O281" s="422">
        <v>1040</v>
      </c>
      <c r="P281" s="109">
        <v>0</v>
      </c>
      <c r="Q281" s="422">
        <v>1040</v>
      </c>
      <c r="R281" s="109">
        <v>0</v>
      </c>
      <c r="S281" s="113">
        <v>1040</v>
      </c>
      <c r="T281" s="113">
        <v>1040</v>
      </c>
      <c r="U281" s="113">
        <v>0</v>
      </c>
      <c r="V281" s="113">
        <v>1040</v>
      </c>
      <c r="W281" s="114">
        <v>0</v>
      </c>
      <c r="X281" s="115">
        <v>1040</v>
      </c>
      <c r="Y281" s="116">
        <v>0</v>
      </c>
      <c r="Z281" s="115">
        <v>1040</v>
      </c>
      <c r="AA281" s="572">
        <v>0</v>
      </c>
      <c r="AB281" s="115">
        <v>1040</v>
      </c>
      <c r="AC281" s="572">
        <v>0</v>
      </c>
      <c r="AD281" s="115">
        <v>550</v>
      </c>
      <c r="AE281" s="572"/>
      <c r="AF281" s="855">
        <v>220</v>
      </c>
      <c r="AG281" s="766"/>
      <c r="AH281" s="855">
        <v>220</v>
      </c>
      <c r="AI281" s="855">
        <v>220</v>
      </c>
      <c r="AJ281" s="855">
        <v>220</v>
      </c>
      <c r="AK281" s="707" t="s">
        <v>445</v>
      </c>
      <c r="AM281" s="106"/>
      <c r="AN281" s="106"/>
    </row>
    <row r="282" spans="1:40">
      <c r="A282" s="80">
        <v>5</v>
      </c>
      <c r="B282" s="14" t="s">
        <v>16</v>
      </c>
      <c r="C282" s="14">
        <v>5</v>
      </c>
      <c r="D282" s="14" t="s">
        <v>16</v>
      </c>
      <c r="E282" s="15" t="s">
        <v>84</v>
      </c>
      <c r="F282" s="14" t="s">
        <v>16</v>
      </c>
      <c r="G282" s="81" t="s">
        <v>139</v>
      </c>
      <c r="H282" s="565" t="s">
        <v>289</v>
      </c>
      <c r="I282" s="281">
        <v>2740</v>
      </c>
      <c r="J282" s="109">
        <v>2504.91</v>
      </c>
      <c r="K282" s="108">
        <v>2740</v>
      </c>
      <c r="L282" s="109">
        <v>1441.5</v>
      </c>
      <c r="M282" s="108">
        <v>2740</v>
      </c>
      <c r="N282" s="109">
        <v>2028.16</v>
      </c>
      <c r="O282" s="422">
        <v>2740</v>
      </c>
      <c r="P282" s="109">
        <v>365</v>
      </c>
      <c r="Q282" s="422">
        <v>2740</v>
      </c>
      <c r="R282" s="109">
        <v>365</v>
      </c>
      <c r="S282" s="113">
        <v>2740</v>
      </c>
      <c r="T282" s="113">
        <v>2740</v>
      </c>
      <c r="U282" s="113">
        <v>-1186.3800000000001</v>
      </c>
      <c r="V282" s="113">
        <v>2740</v>
      </c>
      <c r="W282" s="114">
        <v>-1405.12</v>
      </c>
      <c r="X282" s="115">
        <v>2740</v>
      </c>
      <c r="Y282" s="116">
        <v>-85</v>
      </c>
      <c r="Z282" s="115">
        <v>2740</v>
      </c>
      <c r="AA282" s="572">
        <v>-3297.44</v>
      </c>
      <c r="AB282" s="115">
        <v>2740</v>
      </c>
      <c r="AC282" s="572">
        <v>-3297.44</v>
      </c>
      <c r="AD282" s="115">
        <v>2740</v>
      </c>
      <c r="AE282" s="572">
        <v>-2666.15</v>
      </c>
      <c r="AF282" s="855">
        <v>2660</v>
      </c>
      <c r="AG282" s="766">
        <v>-642.78</v>
      </c>
      <c r="AH282" s="855">
        <v>2660</v>
      </c>
      <c r="AI282" s="855">
        <v>2660</v>
      </c>
      <c r="AJ282" s="855">
        <v>2660</v>
      </c>
      <c r="AK282" s="707" t="s">
        <v>445</v>
      </c>
      <c r="AM282" s="106"/>
      <c r="AN282" s="106"/>
    </row>
    <row r="283" spans="1:40">
      <c r="A283" s="144"/>
      <c r="B283" s="680"/>
      <c r="C283" s="680"/>
      <c r="D283" s="680"/>
      <c r="E283" s="676"/>
      <c r="F283" s="680"/>
      <c r="G283" s="145"/>
      <c r="H283" s="146" t="s">
        <v>290</v>
      </c>
      <c r="I283" s="495">
        <f t="shared" ref="I283:P283" si="111">SUM(I273:I282)</f>
        <v>14510</v>
      </c>
      <c r="J283" s="496">
        <f t="shared" si="111"/>
        <v>11999.710000000001</v>
      </c>
      <c r="K283" s="495">
        <f t="shared" si="111"/>
        <v>14510</v>
      </c>
      <c r="L283" s="496">
        <f t="shared" si="111"/>
        <v>4050.08</v>
      </c>
      <c r="M283" s="495">
        <f t="shared" si="111"/>
        <v>14510</v>
      </c>
      <c r="N283" s="496">
        <f t="shared" si="111"/>
        <v>8800.6200000000008</v>
      </c>
      <c r="O283" s="497">
        <f t="shared" si="111"/>
        <v>14510</v>
      </c>
      <c r="P283" s="496">
        <f t="shared" si="111"/>
        <v>1133.04</v>
      </c>
      <c r="Q283" s="497">
        <v>14510</v>
      </c>
      <c r="R283" s="496">
        <f>SUM(R273:R282)</f>
        <v>1938.9</v>
      </c>
      <c r="S283" s="499">
        <f>SUM(S273:S282)</f>
        <v>14510</v>
      </c>
      <c r="T283" s="499">
        <f>SUM(T273:T282)</f>
        <v>14510</v>
      </c>
      <c r="U283" s="499"/>
      <c r="V283" s="499">
        <f>SUM(V273:V282)</f>
        <v>14510</v>
      </c>
      <c r="W283" s="500">
        <f>SUM(W273:W282)</f>
        <v>-4269.28</v>
      </c>
      <c r="X283" s="501">
        <f>SUM(X273:X282)</f>
        <v>14510</v>
      </c>
      <c r="Y283" s="502">
        <v>-3332.55</v>
      </c>
      <c r="Z283" s="501">
        <f>SUM(Z273:Z282)</f>
        <v>14510</v>
      </c>
      <c r="AA283" s="501">
        <f>SUM(AA273:AA282)</f>
        <v>-11753.660000000002</v>
      </c>
      <c r="AB283" s="501">
        <f>SUM(AB273:AB282)</f>
        <v>14510</v>
      </c>
      <c r="AC283" s="878">
        <v>-11778.42</v>
      </c>
      <c r="AD283" s="501">
        <f>SUM(AD273:AD282)</f>
        <v>11500</v>
      </c>
      <c r="AE283" s="501">
        <f t="shared" ref="AE283" si="112">SUM(AE273:AE282)</f>
        <v>-10693.72</v>
      </c>
      <c r="AF283" s="501">
        <f>SUM(AF273:AF282)</f>
        <v>10670</v>
      </c>
      <c r="AG283" s="501">
        <f t="shared" ref="AG283" si="113">SUM(AG273:AG282)</f>
        <v>-2838.66</v>
      </c>
      <c r="AH283" s="501">
        <f>SUM(AH273:AH282)</f>
        <v>10670</v>
      </c>
      <c r="AI283" s="501">
        <f>SUM(AI273:AI282)</f>
        <v>10670</v>
      </c>
      <c r="AJ283" s="501">
        <f>SUM(AJ273:AJ282)</f>
        <v>10670</v>
      </c>
      <c r="AK283" s="702"/>
      <c r="AM283" s="106"/>
      <c r="AN283" s="106"/>
    </row>
    <row r="284" spans="1:40">
      <c r="A284" s="80"/>
      <c r="B284" s="14"/>
      <c r="C284" s="14"/>
      <c r="D284" s="14"/>
      <c r="E284" s="15"/>
      <c r="F284" s="14"/>
      <c r="G284" s="81"/>
      <c r="H284" s="251"/>
      <c r="I284" s="281"/>
      <c r="J284" s="289"/>
      <c r="K284" s="281"/>
      <c r="L284" s="289"/>
      <c r="M284" s="281"/>
      <c r="N284" s="289"/>
      <c r="O284" s="424"/>
      <c r="P284" s="510"/>
      <c r="Q284" s="424"/>
      <c r="R284" s="510"/>
      <c r="S284" s="283"/>
      <c r="T284" s="283"/>
      <c r="U284" s="283"/>
      <c r="V284" s="283"/>
      <c r="W284" s="284"/>
      <c r="X284" s="285"/>
      <c r="Y284" s="286"/>
      <c r="Z284" s="285"/>
      <c r="AA284" s="573"/>
      <c r="AB284" s="285"/>
      <c r="AC284" s="573"/>
      <c r="AD284" s="285"/>
      <c r="AE284" s="573"/>
      <c r="AF284" s="285"/>
      <c r="AG284" s="777"/>
      <c r="AH284" s="285"/>
      <c r="AI284" s="285"/>
      <c r="AJ284" s="285"/>
      <c r="AK284" s="706"/>
      <c r="AM284" s="106"/>
      <c r="AN284" s="106"/>
    </row>
    <row r="285" spans="1:40">
      <c r="A285" s="556">
        <v>5</v>
      </c>
      <c r="B285" s="557" t="s">
        <v>16</v>
      </c>
      <c r="C285" s="557">
        <v>5</v>
      </c>
      <c r="D285" s="557" t="s">
        <v>16</v>
      </c>
      <c r="E285" s="558" t="s">
        <v>86</v>
      </c>
      <c r="F285" s="557" t="s">
        <v>16</v>
      </c>
      <c r="G285" s="559" t="s">
        <v>70</v>
      </c>
      <c r="H285" s="574" t="s">
        <v>291</v>
      </c>
      <c r="I285" s="239"/>
      <c r="J285" s="240"/>
      <c r="K285" s="239"/>
      <c r="L285" s="240"/>
      <c r="M285" s="239"/>
      <c r="N285" s="240"/>
      <c r="O285" s="575"/>
      <c r="P285" s="576"/>
      <c r="Q285" s="575"/>
      <c r="R285" s="576"/>
      <c r="S285" s="243"/>
      <c r="T285" s="243"/>
      <c r="U285" s="243"/>
      <c r="V285" s="243"/>
      <c r="W285" s="244"/>
      <c r="X285" s="245"/>
      <c r="Y285" s="246"/>
      <c r="Z285" s="245"/>
      <c r="AA285" s="577"/>
      <c r="AB285" s="245"/>
      <c r="AC285" s="577"/>
      <c r="AD285" s="245"/>
      <c r="AE285" s="577"/>
      <c r="AF285" s="245"/>
      <c r="AG285" s="778"/>
      <c r="AH285" s="245"/>
      <c r="AI285" s="245"/>
      <c r="AJ285" s="245"/>
      <c r="AK285" s="710"/>
      <c r="AM285" s="106"/>
      <c r="AN285" s="106"/>
    </row>
    <row r="286" spans="1:40">
      <c r="A286" s="80">
        <v>5</v>
      </c>
      <c r="B286" s="14" t="s">
        <v>16</v>
      </c>
      <c r="C286" s="14">
        <v>5</v>
      </c>
      <c r="D286" s="14" t="s">
        <v>16</v>
      </c>
      <c r="E286" s="15" t="s">
        <v>86</v>
      </c>
      <c r="F286" s="14" t="s">
        <v>16</v>
      </c>
      <c r="G286" s="81" t="s">
        <v>81</v>
      </c>
      <c r="H286" s="571" t="s">
        <v>291</v>
      </c>
      <c r="I286" s="279">
        <v>2880</v>
      </c>
      <c r="J286" s="212">
        <v>2880.12</v>
      </c>
      <c r="K286" s="211">
        <v>2880</v>
      </c>
      <c r="L286" s="212">
        <v>593.45000000000005</v>
      </c>
      <c r="M286" s="211">
        <v>2880</v>
      </c>
      <c r="N286" s="212">
        <v>3090.07</v>
      </c>
      <c r="O286" s="487">
        <v>2880</v>
      </c>
      <c r="P286" s="488"/>
      <c r="Q286" s="487">
        <v>2880</v>
      </c>
      <c r="R286" s="488">
        <v>240.2</v>
      </c>
      <c r="S286" s="215">
        <v>2880</v>
      </c>
      <c r="T286" s="215">
        <v>2880</v>
      </c>
      <c r="U286" s="215">
        <v>-243.1</v>
      </c>
      <c r="V286" s="215">
        <v>2880</v>
      </c>
      <c r="W286" s="216">
        <v>-928.83</v>
      </c>
      <c r="X286" s="217">
        <v>2880</v>
      </c>
      <c r="Y286" s="218">
        <v>-426.61</v>
      </c>
      <c r="Z286" s="217">
        <v>2880</v>
      </c>
      <c r="AA286" s="492">
        <v>-1745.14</v>
      </c>
      <c r="AB286" s="217">
        <v>2880</v>
      </c>
      <c r="AC286" s="492">
        <v>-1745.14</v>
      </c>
      <c r="AD286" s="217">
        <v>2450</v>
      </c>
      <c r="AE286" s="492">
        <v>-2820.04</v>
      </c>
      <c r="AF286" s="217">
        <v>2450</v>
      </c>
      <c r="AG286" s="766">
        <v>-507.34</v>
      </c>
      <c r="AH286" s="217">
        <v>2450</v>
      </c>
      <c r="AI286" s="217">
        <v>2450</v>
      </c>
      <c r="AJ286" s="217">
        <v>2450</v>
      </c>
      <c r="AK286" s="707" t="s">
        <v>292</v>
      </c>
      <c r="AM286" s="106"/>
      <c r="AN286" s="106"/>
    </row>
    <row r="287" spans="1:40">
      <c r="A287" s="80">
        <v>5</v>
      </c>
      <c r="B287" s="14" t="s">
        <v>16</v>
      </c>
      <c r="C287" s="14">
        <v>5</v>
      </c>
      <c r="D287" s="14" t="s">
        <v>16</v>
      </c>
      <c r="E287" s="15" t="s">
        <v>86</v>
      </c>
      <c r="F287" s="14" t="s">
        <v>16</v>
      </c>
      <c r="G287" s="81" t="s">
        <v>84</v>
      </c>
      <c r="H287" s="565" t="s">
        <v>293</v>
      </c>
      <c r="I287" s="281">
        <v>1450</v>
      </c>
      <c r="J287" s="109">
        <v>0</v>
      </c>
      <c r="K287" s="108">
        <v>1450</v>
      </c>
      <c r="L287" s="109">
        <v>540</v>
      </c>
      <c r="M287" s="108">
        <v>1450</v>
      </c>
      <c r="N287" s="109">
        <v>1342.27</v>
      </c>
      <c r="O287" s="422">
        <v>1450</v>
      </c>
      <c r="P287" s="423"/>
      <c r="Q287" s="422">
        <v>1450</v>
      </c>
      <c r="R287" s="423">
        <v>1482.39</v>
      </c>
      <c r="S287" s="113">
        <v>1450</v>
      </c>
      <c r="T287" s="113">
        <v>1450</v>
      </c>
      <c r="U287" s="113">
        <v>-39.99</v>
      </c>
      <c r="V287" s="113">
        <v>1450</v>
      </c>
      <c r="W287" s="114">
        <v>-1161.96</v>
      </c>
      <c r="X287" s="115">
        <v>1450</v>
      </c>
      <c r="Y287" s="116">
        <v>-28.56</v>
      </c>
      <c r="Z287" s="115">
        <v>1450</v>
      </c>
      <c r="AA287" s="572">
        <v>-1401.69</v>
      </c>
      <c r="AB287" s="115">
        <v>1450</v>
      </c>
      <c r="AC287" s="572">
        <v>-1401.69</v>
      </c>
      <c r="AD287" s="115">
        <v>1100</v>
      </c>
      <c r="AE287" s="572">
        <v>-1575.31</v>
      </c>
      <c r="AF287" s="855">
        <v>1150</v>
      </c>
      <c r="AG287" s="766">
        <v>-1769.75</v>
      </c>
      <c r="AH287" s="855">
        <v>1150</v>
      </c>
      <c r="AI287" s="855">
        <v>1150</v>
      </c>
      <c r="AJ287" s="855">
        <v>1150</v>
      </c>
      <c r="AK287" s="707" t="s">
        <v>429</v>
      </c>
      <c r="AM287" s="106"/>
      <c r="AN287" s="106"/>
    </row>
    <row r="288" spans="1:40">
      <c r="A288" s="80">
        <v>5</v>
      </c>
      <c r="B288" s="14" t="s">
        <v>16</v>
      </c>
      <c r="C288" s="14">
        <v>5</v>
      </c>
      <c r="D288" s="14" t="s">
        <v>16</v>
      </c>
      <c r="E288" s="15" t="s">
        <v>86</v>
      </c>
      <c r="F288" s="14" t="s">
        <v>16</v>
      </c>
      <c r="G288" s="81" t="s">
        <v>86</v>
      </c>
      <c r="H288" s="565" t="s">
        <v>294</v>
      </c>
      <c r="I288" s="281"/>
      <c r="J288" s="109"/>
      <c r="K288" s="108"/>
      <c r="L288" s="109"/>
      <c r="M288" s="108"/>
      <c r="N288" s="109"/>
      <c r="O288" s="422"/>
      <c r="P288" s="423"/>
      <c r="Q288" s="422"/>
      <c r="R288" s="423"/>
      <c r="S288" s="113"/>
      <c r="T288" s="113">
        <v>800</v>
      </c>
      <c r="U288" s="113">
        <v>0</v>
      </c>
      <c r="V288" s="113">
        <v>800</v>
      </c>
      <c r="W288" s="114">
        <v>0</v>
      </c>
      <c r="X288" s="115">
        <v>800</v>
      </c>
      <c r="Y288" s="116">
        <v>-148.03</v>
      </c>
      <c r="Z288" s="115">
        <v>800</v>
      </c>
      <c r="AA288" s="572">
        <v>-324.44</v>
      </c>
      <c r="AB288" s="115">
        <v>800</v>
      </c>
      <c r="AC288" s="572">
        <v>-324.44</v>
      </c>
      <c r="AD288" s="115">
        <v>350</v>
      </c>
      <c r="AE288" s="572">
        <v>-400</v>
      </c>
      <c r="AF288" s="115">
        <v>350</v>
      </c>
      <c r="AG288" s="766">
        <v>-86.51</v>
      </c>
      <c r="AH288" s="115">
        <v>350</v>
      </c>
      <c r="AI288" s="115">
        <v>350</v>
      </c>
      <c r="AJ288" s="115">
        <v>350</v>
      </c>
      <c r="AK288" s="707" t="s">
        <v>447</v>
      </c>
      <c r="AM288" s="106"/>
      <c r="AN288" s="106"/>
    </row>
    <row r="289" spans="1:40">
      <c r="A289" s="144"/>
      <c r="B289" s="680"/>
      <c r="C289" s="680"/>
      <c r="D289" s="680"/>
      <c r="E289" s="676"/>
      <c r="F289" s="680"/>
      <c r="G289" s="145"/>
      <c r="H289" s="146" t="s">
        <v>295</v>
      </c>
      <c r="I289" s="497">
        <f t="shared" ref="I289:T289" si="114">SUM(I286:I288)</f>
        <v>4330</v>
      </c>
      <c r="J289" s="498">
        <f t="shared" si="114"/>
        <v>2880.12</v>
      </c>
      <c r="K289" s="497">
        <f t="shared" si="114"/>
        <v>4330</v>
      </c>
      <c r="L289" s="498">
        <f t="shared" si="114"/>
        <v>1133.45</v>
      </c>
      <c r="M289" s="497">
        <f t="shared" si="114"/>
        <v>4330</v>
      </c>
      <c r="N289" s="498">
        <f t="shared" si="114"/>
        <v>4432.34</v>
      </c>
      <c r="O289" s="497">
        <f t="shared" si="114"/>
        <v>4330</v>
      </c>
      <c r="P289" s="498">
        <f t="shared" si="114"/>
        <v>0</v>
      </c>
      <c r="Q289" s="497">
        <f t="shared" si="114"/>
        <v>4330</v>
      </c>
      <c r="R289" s="498">
        <f t="shared" si="114"/>
        <v>1722.5900000000001</v>
      </c>
      <c r="S289" s="499">
        <f t="shared" si="114"/>
        <v>4330</v>
      </c>
      <c r="T289" s="499">
        <f t="shared" si="114"/>
        <v>5130</v>
      </c>
      <c r="U289" s="499"/>
      <c r="V289" s="499">
        <f>SUM(V286:V288)</f>
        <v>5130</v>
      </c>
      <c r="W289" s="500">
        <f>SUM(W286:W288)</f>
        <v>-2090.79</v>
      </c>
      <c r="X289" s="501">
        <f>SUM(X286:X288)</f>
        <v>5130</v>
      </c>
      <c r="Y289" s="502">
        <v>-603.20000000000005</v>
      </c>
      <c r="Z289" s="501">
        <f>SUM(Z286:Z288)</f>
        <v>5130</v>
      </c>
      <c r="AA289" s="501">
        <f>SUM(AA286:AA288)</f>
        <v>-3471.27</v>
      </c>
      <c r="AB289" s="501">
        <f>SUM(AB286:AB288)</f>
        <v>5130</v>
      </c>
      <c r="AC289" s="878">
        <v>-3426.29</v>
      </c>
      <c r="AD289" s="501">
        <f>SUM(AD286:AD288)</f>
        <v>3900</v>
      </c>
      <c r="AE289" s="501">
        <f t="shared" ref="AE289" si="115">SUM(AE286:AE288)</f>
        <v>-4795.3500000000004</v>
      </c>
      <c r="AF289" s="501">
        <f>SUM(AF286:AF288)</f>
        <v>3950</v>
      </c>
      <c r="AG289" s="501">
        <f t="shared" ref="AG289" si="116">SUM(AG286:AG288)</f>
        <v>-2363.6000000000004</v>
      </c>
      <c r="AH289" s="501">
        <f>SUM(AH286:AH288)</f>
        <v>3950</v>
      </c>
      <c r="AI289" s="501">
        <f>SUM(AI286:AI288)</f>
        <v>3950</v>
      </c>
      <c r="AJ289" s="501">
        <f>SUM(AJ286:AJ288)</f>
        <v>3950</v>
      </c>
      <c r="AK289" s="702"/>
      <c r="AM289" s="106"/>
      <c r="AN289" s="106"/>
    </row>
    <row r="290" spans="1:40">
      <c r="A290" s="80"/>
      <c r="B290" s="14"/>
      <c r="C290" s="14"/>
      <c r="D290" s="14"/>
      <c r="E290" s="15"/>
      <c r="F290" s="14"/>
      <c r="G290" s="81"/>
      <c r="H290" s="578"/>
      <c r="I290" s="579"/>
      <c r="J290" s="580"/>
      <c r="K290" s="579"/>
      <c r="L290" s="580"/>
      <c r="M290" s="579"/>
      <c r="N290" s="580"/>
      <c r="O290" s="581"/>
      <c r="P290" s="582"/>
      <c r="Q290" s="581"/>
      <c r="R290" s="582"/>
      <c r="S290" s="583"/>
      <c r="T290" s="583"/>
      <c r="U290" s="583"/>
      <c r="V290" s="583"/>
      <c r="W290" s="584"/>
      <c r="X290" s="585"/>
      <c r="Y290" s="49"/>
      <c r="Z290" s="585"/>
      <c r="AA290" s="586"/>
      <c r="AB290" s="585"/>
      <c r="AC290" s="586"/>
      <c r="AD290" s="585"/>
      <c r="AE290" s="586"/>
      <c r="AF290" s="585"/>
      <c r="AG290" s="779"/>
      <c r="AH290" s="585"/>
      <c r="AI290" s="585"/>
      <c r="AJ290" s="585"/>
      <c r="AK290" s="706"/>
      <c r="AM290" s="106"/>
      <c r="AN290" s="106"/>
    </row>
    <row r="291" spans="1:40">
      <c r="A291" s="556">
        <v>5</v>
      </c>
      <c r="B291" s="557" t="s">
        <v>16</v>
      </c>
      <c r="C291" s="557">
        <v>5</v>
      </c>
      <c r="D291" s="557" t="s">
        <v>16</v>
      </c>
      <c r="E291" s="558" t="s">
        <v>73</v>
      </c>
      <c r="F291" s="557" t="s">
        <v>16</v>
      </c>
      <c r="G291" s="559" t="s">
        <v>70</v>
      </c>
      <c r="H291" s="587" t="s">
        <v>296</v>
      </c>
      <c r="I291" s="239"/>
      <c r="J291" s="240"/>
      <c r="K291" s="239"/>
      <c r="L291" s="240"/>
      <c r="M291" s="239"/>
      <c r="N291" s="240"/>
      <c r="O291" s="575"/>
      <c r="P291" s="576"/>
      <c r="Q291" s="575"/>
      <c r="R291" s="576"/>
      <c r="S291" s="243"/>
      <c r="T291" s="243"/>
      <c r="U291" s="243"/>
      <c r="V291" s="243"/>
      <c r="W291" s="244"/>
      <c r="X291" s="245"/>
      <c r="Y291" s="246"/>
      <c r="Z291" s="245"/>
      <c r="AA291" s="577"/>
      <c r="AB291" s="245"/>
      <c r="AC291" s="577"/>
      <c r="AD291" s="245"/>
      <c r="AE291" s="577"/>
      <c r="AF291" s="245"/>
      <c r="AG291" s="778"/>
      <c r="AH291" s="245"/>
      <c r="AI291" s="245"/>
      <c r="AJ291" s="245"/>
      <c r="AK291" s="710"/>
      <c r="AM291" s="106"/>
      <c r="AN291" s="106"/>
    </row>
    <row r="292" spans="1:40">
      <c r="A292" s="80">
        <v>5</v>
      </c>
      <c r="B292" s="14" t="s">
        <v>16</v>
      </c>
      <c r="C292" s="14">
        <v>5</v>
      </c>
      <c r="D292" s="14" t="s">
        <v>16</v>
      </c>
      <c r="E292" s="15" t="s">
        <v>73</v>
      </c>
      <c r="F292" s="14" t="s">
        <v>16</v>
      </c>
      <c r="G292" s="81" t="s">
        <v>81</v>
      </c>
      <c r="H292" s="588" t="s">
        <v>454</v>
      </c>
      <c r="I292" s="279">
        <v>2170</v>
      </c>
      <c r="J292" s="212">
        <v>2105.2800000000002</v>
      </c>
      <c r="K292" s="211">
        <v>2170</v>
      </c>
      <c r="L292" s="212">
        <v>504.34</v>
      </c>
      <c r="M292" s="211">
        <v>2170</v>
      </c>
      <c r="N292" s="212">
        <v>1809.54</v>
      </c>
      <c r="O292" s="487">
        <v>2170</v>
      </c>
      <c r="P292" s="488"/>
      <c r="Q292" s="487">
        <v>2170</v>
      </c>
      <c r="R292" s="212">
        <v>200</v>
      </c>
      <c r="S292" s="215">
        <v>2170</v>
      </c>
      <c r="T292" s="215">
        <v>2170</v>
      </c>
      <c r="U292" s="215">
        <v>0</v>
      </c>
      <c r="V292" s="215">
        <v>2170</v>
      </c>
      <c r="W292" s="216">
        <v>0</v>
      </c>
      <c r="X292" s="217">
        <v>2170</v>
      </c>
      <c r="Y292" s="218">
        <v>-149.63999999999999</v>
      </c>
      <c r="Z292" s="217">
        <v>2170</v>
      </c>
      <c r="AA292" s="492">
        <v>-1996.97</v>
      </c>
      <c r="AB292" s="217">
        <v>2170</v>
      </c>
      <c r="AC292" s="492">
        <v>-1996.97</v>
      </c>
      <c r="AD292" s="217">
        <v>1250</v>
      </c>
      <c r="AE292" s="492">
        <v>-1778.8</v>
      </c>
      <c r="AF292" s="854">
        <v>2100</v>
      </c>
      <c r="AG292" s="766">
        <v>-100.76</v>
      </c>
      <c r="AH292" s="854">
        <v>2100</v>
      </c>
      <c r="AI292" s="854">
        <v>2100</v>
      </c>
      <c r="AJ292" s="854">
        <v>2100</v>
      </c>
      <c r="AK292" s="707" t="s">
        <v>277</v>
      </c>
      <c r="AM292" s="106"/>
      <c r="AN292" s="106"/>
    </row>
    <row r="293" spans="1:40">
      <c r="A293" s="80">
        <v>5</v>
      </c>
      <c r="B293" s="14" t="s">
        <v>16</v>
      </c>
      <c r="C293" s="14">
        <v>5</v>
      </c>
      <c r="D293" s="14" t="s">
        <v>16</v>
      </c>
      <c r="E293" s="15" t="s">
        <v>73</v>
      </c>
      <c r="F293" s="14" t="s">
        <v>16</v>
      </c>
      <c r="G293" s="81" t="s">
        <v>84</v>
      </c>
      <c r="H293" s="107" t="s">
        <v>455</v>
      </c>
      <c r="I293" s="281">
        <v>2990</v>
      </c>
      <c r="J293" s="109">
        <v>1263.94</v>
      </c>
      <c r="K293" s="108">
        <v>2990</v>
      </c>
      <c r="L293" s="109">
        <v>492.25</v>
      </c>
      <c r="M293" s="108">
        <v>2990</v>
      </c>
      <c r="N293" s="109">
        <v>1548.3</v>
      </c>
      <c r="O293" s="422">
        <v>2990</v>
      </c>
      <c r="P293" s="423"/>
      <c r="Q293" s="422">
        <v>2990</v>
      </c>
      <c r="R293" s="109">
        <v>478.83</v>
      </c>
      <c r="S293" s="113">
        <v>2990</v>
      </c>
      <c r="T293" s="113">
        <v>2990</v>
      </c>
      <c r="U293" s="113">
        <v>-1332.28</v>
      </c>
      <c r="V293" s="113">
        <v>2990</v>
      </c>
      <c r="W293" s="114">
        <v>-2900.29</v>
      </c>
      <c r="X293" s="115">
        <v>2990</v>
      </c>
      <c r="Y293" s="116">
        <v>-444.67</v>
      </c>
      <c r="Z293" s="115">
        <v>2990</v>
      </c>
      <c r="AA293" s="572">
        <v>-2458.12</v>
      </c>
      <c r="AB293" s="115">
        <v>2990</v>
      </c>
      <c r="AC293" s="572">
        <v>-2458.12</v>
      </c>
      <c r="AD293" s="115">
        <v>850</v>
      </c>
      <c r="AE293" s="572">
        <v>-2430.7399999999998</v>
      </c>
      <c r="AF293" s="855">
        <v>2250</v>
      </c>
      <c r="AG293" s="766">
        <v>-265.29000000000002</v>
      </c>
      <c r="AH293" s="855">
        <v>2250</v>
      </c>
      <c r="AI293" s="855">
        <v>2250</v>
      </c>
      <c r="AJ293" s="855">
        <v>2250</v>
      </c>
      <c r="AK293" s="707" t="s">
        <v>277</v>
      </c>
      <c r="AM293" s="106"/>
      <c r="AN293" s="106"/>
    </row>
    <row r="294" spans="1:40">
      <c r="A294" s="80">
        <v>5</v>
      </c>
      <c r="B294" s="14" t="s">
        <v>16</v>
      </c>
      <c r="C294" s="14">
        <v>5</v>
      </c>
      <c r="D294" s="14" t="s">
        <v>16</v>
      </c>
      <c r="E294" s="15" t="s">
        <v>73</v>
      </c>
      <c r="F294" s="14" t="s">
        <v>16</v>
      </c>
      <c r="G294" s="81" t="s">
        <v>86</v>
      </c>
      <c r="H294" s="589" t="s">
        <v>297</v>
      </c>
      <c r="I294" s="281">
        <v>1490</v>
      </c>
      <c r="J294" s="109">
        <v>1493.12</v>
      </c>
      <c r="K294" s="108">
        <v>1490</v>
      </c>
      <c r="L294" s="109">
        <v>1015.28</v>
      </c>
      <c r="M294" s="108">
        <v>1490</v>
      </c>
      <c r="N294" s="109">
        <v>1490</v>
      </c>
      <c r="O294" s="422">
        <v>1490</v>
      </c>
      <c r="P294" s="423"/>
      <c r="Q294" s="422">
        <v>1490</v>
      </c>
      <c r="R294" s="109">
        <v>873.01</v>
      </c>
      <c r="S294" s="113">
        <v>1490</v>
      </c>
      <c r="T294" s="113">
        <v>1490</v>
      </c>
      <c r="U294" s="113">
        <v>-457.46</v>
      </c>
      <c r="V294" s="113">
        <v>1490</v>
      </c>
      <c r="W294" s="114">
        <v>-957.46</v>
      </c>
      <c r="X294" s="115">
        <v>1490</v>
      </c>
      <c r="Y294" s="116">
        <v>-787.25</v>
      </c>
      <c r="Z294" s="115">
        <v>1490</v>
      </c>
      <c r="AA294" s="572">
        <v>-1212.44</v>
      </c>
      <c r="AB294" s="115">
        <v>1490</v>
      </c>
      <c r="AC294" s="572">
        <v>-1212.44</v>
      </c>
      <c r="AD294" s="115">
        <v>850</v>
      </c>
      <c r="AE294" s="572">
        <v>-1517.86</v>
      </c>
      <c r="AF294" s="855">
        <v>1450</v>
      </c>
      <c r="AG294" s="766">
        <v>-282.23</v>
      </c>
      <c r="AH294" s="855">
        <v>1450</v>
      </c>
      <c r="AI294" s="855">
        <v>1450</v>
      </c>
      <c r="AJ294" s="855">
        <v>1450</v>
      </c>
      <c r="AK294" s="707" t="s">
        <v>292</v>
      </c>
      <c r="AM294" s="106"/>
      <c r="AN294" s="106"/>
    </row>
    <row r="295" spans="1:40">
      <c r="A295" s="80">
        <v>5</v>
      </c>
      <c r="B295" s="14" t="s">
        <v>16</v>
      </c>
      <c r="C295" s="14">
        <v>5</v>
      </c>
      <c r="D295" s="14" t="s">
        <v>16</v>
      </c>
      <c r="E295" s="15" t="s">
        <v>73</v>
      </c>
      <c r="F295" s="14" t="s">
        <v>16</v>
      </c>
      <c r="G295" s="81" t="s">
        <v>73</v>
      </c>
      <c r="H295" s="589" t="s">
        <v>298</v>
      </c>
      <c r="I295" s="281">
        <v>1440</v>
      </c>
      <c r="J295" s="109">
        <v>1419.27</v>
      </c>
      <c r="K295" s="108">
        <v>1440</v>
      </c>
      <c r="L295" s="109">
        <v>407.9</v>
      </c>
      <c r="M295" s="108">
        <v>1440</v>
      </c>
      <c r="N295" s="109">
        <v>944.7</v>
      </c>
      <c r="O295" s="422">
        <v>1440</v>
      </c>
      <c r="P295" s="423"/>
      <c r="Q295" s="422">
        <v>1440</v>
      </c>
      <c r="R295" s="109">
        <v>0</v>
      </c>
      <c r="S295" s="113">
        <v>1440</v>
      </c>
      <c r="T295" s="113">
        <v>1440</v>
      </c>
      <c r="U295" s="113">
        <v>-364.24</v>
      </c>
      <c r="V295" s="113">
        <v>1440</v>
      </c>
      <c r="W295" s="114">
        <v>-364.24</v>
      </c>
      <c r="X295" s="115">
        <v>1440</v>
      </c>
      <c r="Y295" s="116">
        <v>0</v>
      </c>
      <c r="Z295" s="115">
        <v>1440</v>
      </c>
      <c r="AA295" s="572">
        <v>-700</v>
      </c>
      <c r="AB295" s="115">
        <v>1440</v>
      </c>
      <c r="AC295" s="572">
        <v>-700</v>
      </c>
      <c r="AD295" s="115">
        <v>600</v>
      </c>
      <c r="AE295" s="572">
        <v>-708.15</v>
      </c>
      <c r="AF295" s="855">
        <v>1200</v>
      </c>
      <c r="AG295" s="766">
        <v>-830.73</v>
      </c>
      <c r="AH295" s="855">
        <v>1200</v>
      </c>
      <c r="AI295" s="855">
        <v>1200</v>
      </c>
      <c r="AJ295" s="855">
        <v>1200</v>
      </c>
      <c r="AK295" s="707" t="s">
        <v>277</v>
      </c>
      <c r="AM295" s="106"/>
      <c r="AN295" s="106"/>
    </row>
    <row r="296" spans="1:40">
      <c r="A296" s="80">
        <v>5</v>
      </c>
      <c r="B296" s="14" t="s">
        <v>16</v>
      </c>
      <c r="C296" s="14">
        <v>5</v>
      </c>
      <c r="D296" s="14" t="s">
        <v>16</v>
      </c>
      <c r="E296" s="15" t="s">
        <v>73</v>
      </c>
      <c r="F296" s="14" t="s">
        <v>16</v>
      </c>
      <c r="G296" s="81" t="s">
        <v>77</v>
      </c>
      <c r="H296" s="589" t="s">
        <v>299</v>
      </c>
      <c r="I296" s="396">
        <v>1740</v>
      </c>
      <c r="J296" s="321">
        <v>1730.48</v>
      </c>
      <c r="K296" s="320">
        <v>1740</v>
      </c>
      <c r="L296" s="321">
        <v>379.57</v>
      </c>
      <c r="M296" s="320">
        <v>1740</v>
      </c>
      <c r="N296" s="321">
        <v>451.83</v>
      </c>
      <c r="O296" s="322">
        <v>1740</v>
      </c>
      <c r="P296" s="323"/>
      <c r="Q296" s="322">
        <v>1740</v>
      </c>
      <c r="R296" s="321">
        <v>20.96</v>
      </c>
      <c r="S296" s="324">
        <v>1740</v>
      </c>
      <c r="T296" s="324">
        <v>1740</v>
      </c>
      <c r="U296" s="324">
        <v>-341.17</v>
      </c>
      <c r="V296" s="324">
        <v>1740</v>
      </c>
      <c r="W296" s="325">
        <v>-587.33000000000004</v>
      </c>
      <c r="X296" s="326">
        <v>1740</v>
      </c>
      <c r="Y296" s="116">
        <v>-927.96</v>
      </c>
      <c r="Z296" s="326">
        <v>1740</v>
      </c>
      <c r="AA296" s="511">
        <v>-1676.98</v>
      </c>
      <c r="AB296" s="326">
        <v>1740</v>
      </c>
      <c r="AC296" s="511">
        <v>-1676.98</v>
      </c>
      <c r="AD296" s="326">
        <v>1000</v>
      </c>
      <c r="AE296" s="511">
        <v>-1119.96</v>
      </c>
      <c r="AF296" s="861">
        <v>1750</v>
      </c>
      <c r="AG296" s="772">
        <v>-841.37</v>
      </c>
      <c r="AH296" s="861">
        <v>1750</v>
      </c>
      <c r="AI296" s="861">
        <v>1750</v>
      </c>
      <c r="AJ296" s="861">
        <v>1750</v>
      </c>
      <c r="AK296" s="707" t="s">
        <v>277</v>
      </c>
      <c r="AM296" s="106"/>
      <c r="AN296" s="106"/>
    </row>
    <row r="297" spans="1:40">
      <c r="A297" s="144"/>
      <c r="B297" s="680"/>
      <c r="C297" s="680"/>
      <c r="D297" s="680"/>
      <c r="E297" s="676"/>
      <c r="F297" s="680"/>
      <c r="G297" s="145"/>
      <c r="H297" s="146" t="s">
        <v>300</v>
      </c>
      <c r="I297" s="495">
        <f t="shared" ref="I297:P297" si="117">SUM(I292:I296)</f>
        <v>9830</v>
      </c>
      <c r="J297" s="496">
        <f t="shared" si="117"/>
        <v>8012.09</v>
      </c>
      <c r="K297" s="495">
        <f t="shared" si="117"/>
        <v>9830</v>
      </c>
      <c r="L297" s="496">
        <f t="shared" si="117"/>
        <v>2799.34</v>
      </c>
      <c r="M297" s="495">
        <f t="shared" si="117"/>
        <v>9830</v>
      </c>
      <c r="N297" s="496">
        <f t="shared" si="117"/>
        <v>6244.37</v>
      </c>
      <c r="O297" s="497">
        <f t="shared" si="117"/>
        <v>9830</v>
      </c>
      <c r="P297" s="498">
        <f t="shared" si="117"/>
        <v>0</v>
      </c>
      <c r="Q297" s="497">
        <v>9830</v>
      </c>
      <c r="R297" s="498">
        <f>SUM(R292:R296)</f>
        <v>1572.8</v>
      </c>
      <c r="S297" s="499">
        <f>SUM(S292:S296)</f>
        <v>9830</v>
      </c>
      <c r="T297" s="499">
        <f>SUM(T292:T296)</f>
        <v>9830</v>
      </c>
      <c r="U297" s="499"/>
      <c r="V297" s="499">
        <f>SUM(V292:V296)</f>
        <v>9830</v>
      </c>
      <c r="W297" s="500">
        <f>SUM(W292:W296)</f>
        <v>-4809.32</v>
      </c>
      <c r="X297" s="501">
        <f>SUM(X292:X296)</f>
        <v>9830</v>
      </c>
      <c r="Y297" s="502">
        <v>-2309.52</v>
      </c>
      <c r="Z297" s="501">
        <f>SUM(Z292:Z296)</f>
        <v>9830</v>
      </c>
      <c r="AA297" s="501">
        <f>SUM(AA292:AA296)</f>
        <v>-8044.51</v>
      </c>
      <c r="AB297" s="501">
        <f>SUM(AB292:AB296)</f>
        <v>9830</v>
      </c>
      <c r="AC297" s="509">
        <v>-8044.51</v>
      </c>
      <c r="AD297" s="501">
        <f>SUM(AD292:AD296)</f>
        <v>4550</v>
      </c>
      <c r="AE297" s="501">
        <f t="shared" ref="AE297" si="118">SUM(AE292:AE296)</f>
        <v>-7555.5099999999993</v>
      </c>
      <c r="AF297" s="501">
        <f>SUM(AF292:AF296)</f>
        <v>8750</v>
      </c>
      <c r="AG297" s="501">
        <f t="shared" ref="AG297" si="119">SUM(AG292:AG296)</f>
        <v>-2320.38</v>
      </c>
      <c r="AH297" s="501">
        <f>SUM(AH292:AH296)</f>
        <v>8750</v>
      </c>
      <c r="AI297" s="501">
        <f>SUM(AI292:AI296)</f>
        <v>8750</v>
      </c>
      <c r="AJ297" s="501">
        <f>SUM(AJ292:AJ296)</f>
        <v>8750</v>
      </c>
      <c r="AK297" s="702"/>
      <c r="AM297" s="106"/>
      <c r="AN297" s="106"/>
    </row>
    <row r="298" spans="1:40">
      <c r="A298" s="556">
        <v>5</v>
      </c>
      <c r="B298" s="557" t="s">
        <v>16</v>
      </c>
      <c r="C298" s="557">
        <v>5</v>
      </c>
      <c r="D298" s="557" t="s">
        <v>16</v>
      </c>
      <c r="E298" s="558" t="s">
        <v>77</v>
      </c>
      <c r="F298" s="557" t="s">
        <v>16</v>
      </c>
      <c r="G298" s="559" t="s">
        <v>70</v>
      </c>
      <c r="H298" s="587" t="s">
        <v>301</v>
      </c>
      <c r="I298" s="534"/>
      <c r="J298" s="560"/>
      <c r="K298" s="534"/>
      <c r="L298" s="560"/>
      <c r="M298" s="534"/>
      <c r="N298" s="560"/>
      <c r="O298" s="567"/>
      <c r="P298" s="561"/>
      <c r="Q298" s="567"/>
      <c r="R298" s="561"/>
      <c r="S298" s="568"/>
      <c r="T298" s="568"/>
      <c r="U298" s="568"/>
      <c r="V298" s="568"/>
      <c r="W298" s="562"/>
      <c r="X298" s="569"/>
      <c r="Y298" s="246"/>
      <c r="Z298" s="569"/>
      <c r="AA298" s="570"/>
      <c r="AB298" s="569"/>
      <c r="AC298" s="570"/>
      <c r="AD298" s="569"/>
      <c r="AE298" s="570"/>
      <c r="AF298" s="569"/>
      <c r="AG298" s="776"/>
      <c r="AH298" s="569"/>
      <c r="AI298" s="569"/>
      <c r="AJ298" s="569"/>
      <c r="AK298" s="710"/>
      <c r="AM298" s="106"/>
      <c r="AN298" s="106"/>
    </row>
    <row r="299" spans="1:40">
      <c r="A299" s="80">
        <v>5</v>
      </c>
      <c r="B299" s="14" t="s">
        <v>16</v>
      </c>
      <c r="C299" s="14">
        <v>5</v>
      </c>
      <c r="D299" s="14" t="s">
        <v>16</v>
      </c>
      <c r="E299" s="15" t="s">
        <v>77</v>
      </c>
      <c r="F299" s="14" t="s">
        <v>16</v>
      </c>
      <c r="G299" s="81" t="s">
        <v>81</v>
      </c>
      <c r="H299" s="82" t="s">
        <v>302</v>
      </c>
      <c r="I299" s="463">
        <v>980</v>
      </c>
      <c r="J299" s="413">
        <v>574.53</v>
      </c>
      <c r="K299" s="412">
        <v>980</v>
      </c>
      <c r="L299" s="414">
        <v>559.76</v>
      </c>
      <c r="M299" s="412">
        <v>980</v>
      </c>
      <c r="N299" s="413">
        <v>550.23</v>
      </c>
      <c r="O299" s="464">
        <v>980</v>
      </c>
      <c r="P299" s="551"/>
      <c r="Q299" s="464">
        <v>980</v>
      </c>
      <c r="R299" s="413">
        <v>0</v>
      </c>
      <c r="S299" s="465">
        <v>980</v>
      </c>
      <c r="T299" s="465">
        <v>980</v>
      </c>
      <c r="U299" s="465">
        <v>0</v>
      </c>
      <c r="V299" s="465">
        <v>980</v>
      </c>
      <c r="W299" s="466">
        <v>0</v>
      </c>
      <c r="X299" s="467">
        <v>980</v>
      </c>
      <c r="Y299" s="218">
        <v>0</v>
      </c>
      <c r="Z299" s="467">
        <v>980</v>
      </c>
      <c r="AA299" s="548">
        <v>-270</v>
      </c>
      <c r="AB299" s="467">
        <v>980</v>
      </c>
      <c r="AC299" s="548">
        <v>-270</v>
      </c>
      <c r="AD299" s="467">
        <v>250</v>
      </c>
      <c r="AE299" s="548">
        <v>-570</v>
      </c>
      <c r="AF299" s="862">
        <v>300</v>
      </c>
      <c r="AG299" s="772">
        <v>-260</v>
      </c>
      <c r="AH299" s="862">
        <v>300</v>
      </c>
      <c r="AI299" s="862">
        <v>300</v>
      </c>
      <c r="AJ299" s="862">
        <v>300</v>
      </c>
      <c r="AK299" s="707" t="s">
        <v>429</v>
      </c>
      <c r="AM299" s="106"/>
      <c r="AN299" s="106"/>
    </row>
    <row r="300" spans="1:40">
      <c r="A300" s="80">
        <v>5</v>
      </c>
      <c r="B300" s="14" t="s">
        <v>16</v>
      </c>
      <c r="C300" s="14">
        <v>5</v>
      </c>
      <c r="D300" s="14" t="s">
        <v>16</v>
      </c>
      <c r="E300" s="15" t="s">
        <v>77</v>
      </c>
      <c r="F300" s="14" t="s">
        <v>16</v>
      </c>
      <c r="G300" s="81" t="s">
        <v>84</v>
      </c>
      <c r="H300" s="107" t="s">
        <v>303</v>
      </c>
      <c r="I300" s="396">
        <v>1690</v>
      </c>
      <c r="J300" s="321">
        <v>0</v>
      </c>
      <c r="K300" s="320">
        <v>1690</v>
      </c>
      <c r="L300" s="321">
        <v>0</v>
      </c>
      <c r="M300" s="320">
        <v>1690</v>
      </c>
      <c r="N300" s="321">
        <v>0</v>
      </c>
      <c r="O300" s="322">
        <v>1690</v>
      </c>
      <c r="P300" s="323"/>
      <c r="Q300" s="322">
        <v>1690</v>
      </c>
      <c r="R300" s="321">
        <v>0</v>
      </c>
      <c r="S300" s="324">
        <v>1690</v>
      </c>
      <c r="T300" s="324">
        <v>1690</v>
      </c>
      <c r="U300" s="324">
        <v>0</v>
      </c>
      <c r="V300" s="324">
        <v>1690</v>
      </c>
      <c r="W300" s="325">
        <v>-47.42</v>
      </c>
      <c r="X300" s="326">
        <v>1690</v>
      </c>
      <c r="Y300" s="116">
        <v>-913.62</v>
      </c>
      <c r="Z300" s="326">
        <v>1690</v>
      </c>
      <c r="AA300" s="511">
        <v>-1414.67</v>
      </c>
      <c r="AB300" s="326">
        <v>1690</v>
      </c>
      <c r="AC300" s="511">
        <v>-1414.67</v>
      </c>
      <c r="AD300" s="326">
        <v>900</v>
      </c>
      <c r="AE300" s="511">
        <v>-989.08</v>
      </c>
      <c r="AF300" s="861">
        <v>900</v>
      </c>
      <c r="AG300" s="772">
        <v>-954.76</v>
      </c>
      <c r="AH300" s="861">
        <v>900</v>
      </c>
      <c r="AI300" s="861">
        <v>900</v>
      </c>
      <c r="AJ300" s="861">
        <v>900</v>
      </c>
      <c r="AK300" s="707" t="s">
        <v>277</v>
      </c>
      <c r="AM300" s="106"/>
      <c r="AN300" s="106"/>
    </row>
    <row r="301" spans="1:40">
      <c r="A301" s="80">
        <v>5</v>
      </c>
      <c r="B301" s="14" t="s">
        <v>16</v>
      </c>
      <c r="C301" s="14">
        <v>5</v>
      </c>
      <c r="D301" s="14" t="s">
        <v>16</v>
      </c>
      <c r="E301" s="15" t="s">
        <v>77</v>
      </c>
      <c r="F301" s="14" t="s">
        <v>16</v>
      </c>
      <c r="G301" s="81" t="s">
        <v>86</v>
      </c>
      <c r="H301" s="590" t="s">
        <v>304</v>
      </c>
      <c r="I301" s="396">
        <v>1250</v>
      </c>
      <c r="J301" s="321">
        <v>1189.4000000000001</v>
      </c>
      <c r="K301" s="320">
        <v>1250</v>
      </c>
      <c r="L301" s="321">
        <v>427.44</v>
      </c>
      <c r="M301" s="320">
        <v>1250</v>
      </c>
      <c r="N301" s="321">
        <v>606.26</v>
      </c>
      <c r="O301" s="322">
        <v>1250</v>
      </c>
      <c r="P301" s="323"/>
      <c r="Q301" s="322">
        <v>1250</v>
      </c>
      <c r="R301" s="321">
        <v>0</v>
      </c>
      <c r="S301" s="324">
        <v>1250</v>
      </c>
      <c r="T301" s="324">
        <v>1250</v>
      </c>
      <c r="U301" s="324">
        <v>-59.51</v>
      </c>
      <c r="V301" s="324">
        <v>1250</v>
      </c>
      <c r="W301" s="325">
        <v>-918.27</v>
      </c>
      <c r="X301" s="326">
        <v>1250</v>
      </c>
      <c r="Y301" s="116">
        <v>0</v>
      </c>
      <c r="Z301" s="326">
        <v>1250</v>
      </c>
      <c r="AA301" s="511">
        <v>-1114.04</v>
      </c>
      <c r="AB301" s="326">
        <v>1250</v>
      </c>
      <c r="AC301" s="511">
        <v>-1114.04</v>
      </c>
      <c r="AD301" s="326">
        <v>900</v>
      </c>
      <c r="AE301" s="511">
        <v>-1250</v>
      </c>
      <c r="AF301" s="861">
        <v>1150</v>
      </c>
      <c r="AG301" s="772">
        <v>-110</v>
      </c>
      <c r="AH301" s="861">
        <v>1150</v>
      </c>
      <c r="AI301" s="861">
        <v>1150</v>
      </c>
      <c r="AJ301" s="861">
        <v>1150</v>
      </c>
      <c r="AK301" s="707" t="s">
        <v>277</v>
      </c>
      <c r="AM301" s="106"/>
      <c r="AN301" s="106"/>
    </row>
    <row r="302" spans="1:40">
      <c r="A302" s="80">
        <v>5</v>
      </c>
      <c r="B302" s="14" t="s">
        <v>16</v>
      </c>
      <c r="C302" s="14">
        <v>5</v>
      </c>
      <c r="D302" s="14" t="s">
        <v>16</v>
      </c>
      <c r="E302" s="15" t="s">
        <v>77</v>
      </c>
      <c r="F302" s="14" t="s">
        <v>16</v>
      </c>
      <c r="G302" s="81" t="s">
        <v>73</v>
      </c>
      <c r="H302" s="590" t="s">
        <v>305</v>
      </c>
      <c r="I302" s="396">
        <v>800</v>
      </c>
      <c r="J302" s="321">
        <v>505.92</v>
      </c>
      <c r="K302" s="320">
        <v>800</v>
      </c>
      <c r="L302" s="321">
        <v>326.05</v>
      </c>
      <c r="M302" s="320">
        <v>800</v>
      </c>
      <c r="N302" s="321">
        <v>326.05</v>
      </c>
      <c r="O302" s="322">
        <v>800</v>
      </c>
      <c r="P302" s="323"/>
      <c r="Q302" s="322">
        <v>800</v>
      </c>
      <c r="R302" s="321">
        <v>0</v>
      </c>
      <c r="S302" s="324">
        <v>800</v>
      </c>
      <c r="T302" s="324">
        <v>800</v>
      </c>
      <c r="U302" s="324">
        <v>0</v>
      </c>
      <c r="V302" s="324">
        <v>800</v>
      </c>
      <c r="W302" s="325">
        <v>0</v>
      </c>
      <c r="X302" s="326">
        <v>800</v>
      </c>
      <c r="Y302" s="116">
        <v>0</v>
      </c>
      <c r="Z302" s="326">
        <v>800</v>
      </c>
      <c r="AA302" s="511">
        <v>0</v>
      </c>
      <c r="AB302" s="326">
        <v>800</v>
      </c>
      <c r="AC302" s="511">
        <v>0</v>
      </c>
      <c r="AD302" s="326">
        <v>400</v>
      </c>
      <c r="AE302" s="511"/>
      <c r="AF302" s="861">
        <v>200</v>
      </c>
      <c r="AG302" s="772">
        <v>-25.63</v>
      </c>
      <c r="AH302" s="861">
        <v>200</v>
      </c>
      <c r="AI302" s="861">
        <v>200</v>
      </c>
      <c r="AJ302" s="861">
        <v>200</v>
      </c>
      <c r="AK302" s="707" t="s">
        <v>277</v>
      </c>
      <c r="AM302" s="106"/>
      <c r="AN302" s="106"/>
    </row>
    <row r="303" spans="1:40">
      <c r="A303" s="80">
        <v>5</v>
      </c>
      <c r="B303" s="14" t="s">
        <v>16</v>
      </c>
      <c r="C303" s="14">
        <v>5</v>
      </c>
      <c r="D303" s="14" t="s">
        <v>16</v>
      </c>
      <c r="E303" s="15" t="s">
        <v>77</v>
      </c>
      <c r="F303" s="14" t="s">
        <v>16</v>
      </c>
      <c r="G303" s="81" t="s">
        <v>77</v>
      </c>
      <c r="H303" s="590" t="s">
        <v>306</v>
      </c>
      <c r="I303" s="396">
        <v>1180</v>
      </c>
      <c r="J303" s="321">
        <v>78.069999999999993</v>
      </c>
      <c r="K303" s="320">
        <v>1180</v>
      </c>
      <c r="L303" s="321">
        <v>161.22999999999999</v>
      </c>
      <c r="M303" s="320">
        <v>1180</v>
      </c>
      <c r="N303" s="321">
        <v>285.8</v>
      </c>
      <c r="O303" s="322">
        <v>1180</v>
      </c>
      <c r="P303" s="323"/>
      <c r="Q303" s="322">
        <v>1180</v>
      </c>
      <c r="R303" s="321">
        <v>0</v>
      </c>
      <c r="S303" s="324">
        <v>1180</v>
      </c>
      <c r="T303" s="324">
        <v>1180</v>
      </c>
      <c r="U303" s="324">
        <v>0</v>
      </c>
      <c r="V303" s="324">
        <v>1180</v>
      </c>
      <c r="W303" s="325">
        <v>-109.4</v>
      </c>
      <c r="X303" s="326">
        <v>1180</v>
      </c>
      <c r="Y303" s="116">
        <v>-84.2</v>
      </c>
      <c r="Z303" s="326">
        <v>1180</v>
      </c>
      <c r="AA303" s="511">
        <v>-829.69</v>
      </c>
      <c r="AB303" s="326">
        <v>1180</v>
      </c>
      <c r="AC303" s="511">
        <v>-829.69</v>
      </c>
      <c r="AD303" s="326">
        <v>300</v>
      </c>
      <c r="AE303" s="511">
        <v>-366.06</v>
      </c>
      <c r="AF303" s="861">
        <v>400</v>
      </c>
      <c r="AG303" s="772">
        <v>-207</v>
      </c>
      <c r="AH303" s="861">
        <v>400</v>
      </c>
      <c r="AI303" s="861">
        <v>400</v>
      </c>
      <c r="AJ303" s="861">
        <v>400</v>
      </c>
      <c r="AK303" s="707" t="s">
        <v>277</v>
      </c>
      <c r="AM303" s="106"/>
      <c r="AN303" s="106"/>
    </row>
    <row r="304" spans="1:40">
      <c r="A304" s="80">
        <v>5</v>
      </c>
      <c r="B304" s="14" t="s">
        <v>16</v>
      </c>
      <c r="C304" s="14">
        <v>5</v>
      </c>
      <c r="D304" s="14" t="s">
        <v>16</v>
      </c>
      <c r="E304" s="15" t="s">
        <v>77</v>
      </c>
      <c r="F304" s="14" t="s">
        <v>16</v>
      </c>
      <c r="G304" s="81" t="s">
        <v>118</v>
      </c>
      <c r="H304" s="107" t="s">
        <v>307</v>
      </c>
      <c r="I304" s="396">
        <v>800</v>
      </c>
      <c r="J304" s="321">
        <v>199.46</v>
      </c>
      <c r="K304" s="320">
        <v>800</v>
      </c>
      <c r="L304" s="321">
        <v>39.08</v>
      </c>
      <c r="M304" s="320">
        <v>800</v>
      </c>
      <c r="N304" s="321">
        <v>39.08</v>
      </c>
      <c r="O304" s="322">
        <v>800</v>
      </c>
      <c r="P304" s="323"/>
      <c r="Q304" s="322">
        <v>800</v>
      </c>
      <c r="R304" s="321">
        <v>0</v>
      </c>
      <c r="S304" s="324">
        <v>800</v>
      </c>
      <c r="T304" s="324">
        <v>800</v>
      </c>
      <c r="U304" s="324">
        <v>0</v>
      </c>
      <c r="V304" s="324">
        <v>800</v>
      </c>
      <c r="W304" s="325">
        <v>0</v>
      </c>
      <c r="X304" s="326">
        <v>800</v>
      </c>
      <c r="Y304" s="116">
        <v>0</v>
      </c>
      <c r="Z304" s="326">
        <v>800</v>
      </c>
      <c r="AA304" s="511">
        <v>-369.04</v>
      </c>
      <c r="AB304" s="326">
        <v>800</v>
      </c>
      <c r="AC304" s="511">
        <v>-369.04</v>
      </c>
      <c r="AD304" s="326">
        <v>350</v>
      </c>
      <c r="AE304" s="511">
        <v>-656.22</v>
      </c>
      <c r="AF304" s="861">
        <v>200</v>
      </c>
      <c r="AG304" s="772">
        <v>-83.74</v>
      </c>
      <c r="AH304" s="861">
        <v>200</v>
      </c>
      <c r="AI304" s="861">
        <v>200</v>
      </c>
      <c r="AJ304" s="861">
        <v>200</v>
      </c>
      <c r="AK304" s="707" t="s">
        <v>277</v>
      </c>
      <c r="AM304" s="106"/>
      <c r="AN304" s="106"/>
    </row>
    <row r="305" spans="1:40">
      <c r="A305" s="80">
        <v>5</v>
      </c>
      <c r="B305" s="14" t="s">
        <v>16</v>
      </c>
      <c r="C305" s="14">
        <v>5</v>
      </c>
      <c r="D305" s="14" t="s">
        <v>16</v>
      </c>
      <c r="E305" s="15" t="s">
        <v>77</v>
      </c>
      <c r="F305" s="14" t="s">
        <v>16</v>
      </c>
      <c r="G305" s="81" t="s">
        <v>75</v>
      </c>
      <c r="H305" s="589" t="s">
        <v>308</v>
      </c>
      <c r="I305" s="396">
        <v>800</v>
      </c>
      <c r="J305" s="321">
        <v>788</v>
      </c>
      <c r="K305" s="320">
        <v>800</v>
      </c>
      <c r="L305" s="321">
        <v>215.64</v>
      </c>
      <c r="M305" s="320">
        <v>800</v>
      </c>
      <c r="N305" s="321">
        <v>215.64</v>
      </c>
      <c r="O305" s="322">
        <v>800</v>
      </c>
      <c r="P305" s="323"/>
      <c r="Q305" s="322">
        <v>800</v>
      </c>
      <c r="R305" s="321">
        <v>0</v>
      </c>
      <c r="S305" s="324">
        <v>800</v>
      </c>
      <c r="T305" s="324">
        <v>800</v>
      </c>
      <c r="U305" s="324">
        <v>-422.73</v>
      </c>
      <c r="V305" s="324">
        <v>800</v>
      </c>
      <c r="W305" s="325">
        <v>-422.73</v>
      </c>
      <c r="X305" s="326">
        <v>800</v>
      </c>
      <c r="Y305" s="116">
        <v>0</v>
      </c>
      <c r="Z305" s="326">
        <v>800</v>
      </c>
      <c r="AA305" s="511">
        <v>-146.24</v>
      </c>
      <c r="AB305" s="326">
        <v>800</v>
      </c>
      <c r="AC305" s="511">
        <v>-146.24</v>
      </c>
      <c r="AD305" s="326">
        <v>500</v>
      </c>
      <c r="AE305" s="511">
        <v>-580.28</v>
      </c>
      <c r="AF305" s="861">
        <v>600</v>
      </c>
      <c r="AG305" s="772">
        <v>-418.38</v>
      </c>
      <c r="AH305" s="861">
        <v>600</v>
      </c>
      <c r="AI305" s="861">
        <v>600</v>
      </c>
      <c r="AJ305" s="861">
        <v>600</v>
      </c>
      <c r="AK305" s="707" t="s">
        <v>428</v>
      </c>
      <c r="AM305" s="106"/>
      <c r="AN305" s="106"/>
    </row>
    <row r="306" spans="1:40">
      <c r="A306" s="80">
        <v>5</v>
      </c>
      <c r="B306" s="14" t="s">
        <v>16</v>
      </c>
      <c r="C306" s="14">
        <v>5</v>
      </c>
      <c r="D306" s="14" t="s">
        <v>16</v>
      </c>
      <c r="E306" s="15" t="s">
        <v>77</v>
      </c>
      <c r="F306" s="14" t="s">
        <v>16</v>
      </c>
      <c r="G306" s="81" t="s">
        <v>132</v>
      </c>
      <c r="H306" s="589" t="s">
        <v>309</v>
      </c>
      <c r="I306" s="396">
        <v>800</v>
      </c>
      <c r="J306" s="321">
        <v>321.42</v>
      </c>
      <c r="K306" s="320">
        <v>800</v>
      </c>
      <c r="L306" s="321">
        <v>412.68</v>
      </c>
      <c r="M306" s="320">
        <v>800</v>
      </c>
      <c r="N306" s="321">
        <v>412.68</v>
      </c>
      <c r="O306" s="322">
        <v>800</v>
      </c>
      <c r="P306" s="323"/>
      <c r="Q306" s="322">
        <v>800</v>
      </c>
      <c r="R306" s="321">
        <v>82.83</v>
      </c>
      <c r="S306" s="324">
        <v>800</v>
      </c>
      <c r="T306" s="324">
        <v>800</v>
      </c>
      <c r="U306" s="324">
        <v>0</v>
      </c>
      <c r="V306" s="324">
        <v>800</v>
      </c>
      <c r="W306" s="325">
        <v>0</v>
      </c>
      <c r="X306" s="326">
        <v>800</v>
      </c>
      <c r="Y306" s="116">
        <v>0</v>
      </c>
      <c r="Z306" s="326">
        <v>800</v>
      </c>
      <c r="AA306" s="511">
        <v>0</v>
      </c>
      <c r="AB306" s="326">
        <v>800</v>
      </c>
      <c r="AC306" s="511">
        <v>0</v>
      </c>
      <c r="AD306" s="326">
        <v>250</v>
      </c>
      <c r="AE306" s="511">
        <v>-450.46</v>
      </c>
      <c r="AF306" s="861">
        <v>200</v>
      </c>
      <c r="AG306" s="772"/>
      <c r="AH306" s="861">
        <v>200</v>
      </c>
      <c r="AI306" s="861">
        <v>200</v>
      </c>
      <c r="AJ306" s="861">
        <v>200</v>
      </c>
      <c r="AK306" s="707" t="s">
        <v>277</v>
      </c>
      <c r="AM306" s="106"/>
      <c r="AN306" s="106"/>
    </row>
    <row r="307" spans="1:40">
      <c r="A307" s="80">
        <v>5</v>
      </c>
      <c r="B307" s="14" t="s">
        <v>16</v>
      </c>
      <c r="C307" s="14">
        <v>5</v>
      </c>
      <c r="D307" s="14" t="s">
        <v>16</v>
      </c>
      <c r="E307" s="15" t="s">
        <v>77</v>
      </c>
      <c r="F307" s="14" t="s">
        <v>16</v>
      </c>
      <c r="G307" s="81" t="s">
        <v>136</v>
      </c>
      <c r="H307" s="590" t="s">
        <v>310</v>
      </c>
      <c r="I307" s="396">
        <v>1920</v>
      </c>
      <c r="J307" s="321">
        <v>1911.13</v>
      </c>
      <c r="K307" s="320">
        <v>1920</v>
      </c>
      <c r="L307" s="321">
        <v>1093.0899999999999</v>
      </c>
      <c r="M307" s="320">
        <v>1920</v>
      </c>
      <c r="N307" s="321">
        <v>1093.0899999999999</v>
      </c>
      <c r="O307" s="322">
        <v>1920</v>
      </c>
      <c r="P307" s="323"/>
      <c r="Q307" s="322">
        <v>1920</v>
      </c>
      <c r="R307" s="321">
        <v>0</v>
      </c>
      <c r="S307" s="324">
        <v>1920</v>
      </c>
      <c r="T307" s="324">
        <v>1920</v>
      </c>
      <c r="U307" s="324">
        <v>-155.59</v>
      </c>
      <c r="V307" s="324">
        <v>1920</v>
      </c>
      <c r="W307" s="325">
        <v>-155.59</v>
      </c>
      <c r="X307" s="326">
        <v>1920</v>
      </c>
      <c r="Y307" s="116">
        <v>-1325.63</v>
      </c>
      <c r="Z307" s="326">
        <v>1920</v>
      </c>
      <c r="AA307" s="511">
        <v>-1410.67</v>
      </c>
      <c r="AB307" s="326">
        <v>1920</v>
      </c>
      <c r="AC307" s="511">
        <v>-1410.67</v>
      </c>
      <c r="AD307" s="326">
        <v>1600</v>
      </c>
      <c r="AE307" s="511">
        <v>-568.95000000000005</v>
      </c>
      <c r="AF307" s="861">
        <v>1450</v>
      </c>
      <c r="AG307" s="772">
        <v>-703.86</v>
      </c>
      <c r="AH307" s="861">
        <v>1450</v>
      </c>
      <c r="AI307" s="861">
        <v>1450</v>
      </c>
      <c r="AJ307" s="861">
        <v>1450</v>
      </c>
      <c r="AK307" s="707" t="s">
        <v>277</v>
      </c>
      <c r="AL307" s="805"/>
      <c r="AM307" s="106"/>
      <c r="AN307" s="106"/>
    </row>
    <row r="308" spans="1:40">
      <c r="A308" s="80">
        <v>5</v>
      </c>
      <c r="B308" s="14" t="s">
        <v>16</v>
      </c>
      <c r="C308" s="14">
        <v>5</v>
      </c>
      <c r="D308" s="14" t="s">
        <v>16</v>
      </c>
      <c r="E308" s="15" t="s">
        <v>77</v>
      </c>
      <c r="F308" s="14" t="s">
        <v>16</v>
      </c>
      <c r="G308" s="81" t="s">
        <v>139</v>
      </c>
      <c r="H308" s="590" t="s">
        <v>311</v>
      </c>
      <c r="I308" s="281">
        <v>1910</v>
      </c>
      <c r="J308" s="109">
        <v>782.39</v>
      </c>
      <c r="K308" s="108">
        <v>1910</v>
      </c>
      <c r="L308" s="109">
        <v>674.67</v>
      </c>
      <c r="M308" s="108">
        <v>1910</v>
      </c>
      <c r="N308" s="109">
        <v>674.67</v>
      </c>
      <c r="O308" s="422">
        <v>1910</v>
      </c>
      <c r="P308" s="423"/>
      <c r="Q308" s="422">
        <v>1910</v>
      </c>
      <c r="R308" s="109">
        <v>0</v>
      </c>
      <c r="S308" s="113">
        <v>1910</v>
      </c>
      <c r="T308" s="113">
        <v>1910</v>
      </c>
      <c r="U308" s="113">
        <v>-899.85</v>
      </c>
      <c r="V308" s="113">
        <v>1910</v>
      </c>
      <c r="W308" s="114">
        <v>-1237.57</v>
      </c>
      <c r="X308" s="115">
        <v>1910</v>
      </c>
      <c r="Y308" s="116">
        <v>-104.4</v>
      </c>
      <c r="Z308" s="115">
        <v>1910</v>
      </c>
      <c r="AA308" s="572">
        <v>-1595.78</v>
      </c>
      <c r="AB308" s="115">
        <v>1910</v>
      </c>
      <c r="AC308" s="572">
        <v>-1595.78</v>
      </c>
      <c r="AD308" s="115">
        <v>1650</v>
      </c>
      <c r="AE308" s="572">
        <v>-1990.22</v>
      </c>
      <c r="AF308" s="855">
        <v>1500</v>
      </c>
      <c r="AG308" s="766">
        <v>-413.38</v>
      </c>
      <c r="AH308" s="855">
        <v>1500</v>
      </c>
      <c r="AI308" s="855">
        <v>1500</v>
      </c>
      <c r="AJ308" s="855">
        <v>1500</v>
      </c>
      <c r="AK308" s="707" t="s">
        <v>277</v>
      </c>
      <c r="AL308" s="805"/>
      <c r="AM308" s="106"/>
      <c r="AN308" s="106"/>
    </row>
    <row r="309" spans="1:40">
      <c r="A309" s="80">
        <v>5</v>
      </c>
      <c r="B309" s="14" t="s">
        <v>16</v>
      </c>
      <c r="C309" s="14">
        <v>5</v>
      </c>
      <c r="D309" s="14" t="s">
        <v>16</v>
      </c>
      <c r="E309" s="15" t="s">
        <v>77</v>
      </c>
      <c r="F309" s="14" t="s">
        <v>16</v>
      </c>
      <c r="G309" s="81" t="s">
        <v>142</v>
      </c>
      <c r="H309" s="590" t="s">
        <v>312</v>
      </c>
      <c r="I309" s="281">
        <v>910</v>
      </c>
      <c r="J309" s="109">
        <v>288.57</v>
      </c>
      <c r="K309" s="108">
        <v>910</v>
      </c>
      <c r="L309" s="109">
        <v>94.17</v>
      </c>
      <c r="M309" s="108">
        <v>910</v>
      </c>
      <c r="N309" s="33">
        <v>154.16999999999999</v>
      </c>
      <c r="O309" s="422">
        <v>910</v>
      </c>
      <c r="P309" s="423"/>
      <c r="Q309" s="422">
        <v>910</v>
      </c>
      <c r="R309" s="109">
        <v>0</v>
      </c>
      <c r="S309" s="113">
        <v>910</v>
      </c>
      <c r="T309" s="113">
        <v>910</v>
      </c>
      <c r="U309" s="113">
        <v>0</v>
      </c>
      <c r="V309" s="113">
        <v>910</v>
      </c>
      <c r="W309" s="114">
        <v>0</v>
      </c>
      <c r="X309" s="115">
        <v>910</v>
      </c>
      <c r="Y309" s="116">
        <v>0</v>
      </c>
      <c r="Z309" s="115">
        <v>910</v>
      </c>
      <c r="AA309" s="572">
        <v>0</v>
      </c>
      <c r="AB309" s="115">
        <v>910</v>
      </c>
      <c r="AC309" s="572">
        <v>0</v>
      </c>
      <c r="AD309" s="115">
        <v>150</v>
      </c>
      <c r="AE309" s="572"/>
      <c r="AF309" s="855">
        <v>100</v>
      </c>
      <c r="AG309" s="766"/>
      <c r="AH309" s="855">
        <v>100</v>
      </c>
      <c r="AI309" s="855">
        <v>100</v>
      </c>
      <c r="AJ309" s="855">
        <v>100</v>
      </c>
      <c r="AK309" s="707" t="s">
        <v>277</v>
      </c>
      <c r="AL309" s="805"/>
      <c r="AM309" s="106"/>
      <c r="AN309" s="106"/>
    </row>
    <row r="310" spans="1:40">
      <c r="A310" s="80">
        <v>5</v>
      </c>
      <c r="B310" s="14" t="s">
        <v>16</v>
      </c>
      <c r="C310" s="14">
        <v>5</v>
      </c>
      <c r="D310" s="14" t="s">
        <v>16</v>
      </c>
      <c r="E310" s="15" t="s">
        <v>77</v>
      </c>
      <c r="F310" s="14" t="s">
        <v>16</v>
      </c>
      <c r="G310" s="81" t="s">
        <v>145</v>
      </c>
      <c r="H310" s="590" t="s">
        <v>313</v>
      </c>
      <c r="I310" s="281">
        <v>800</v>
      </c>
      <c r="J310" s="109">
        <v>772.21</v>
      </c>
      <c r="K310" s="108">
        <v>800</v>
      </c>
      <c r="L310" s="109">
        <v>237.91</v>
      </c>
      <c r="M310" s="108">
        <v>800</v>
      </c>
      <c r="N310" s="109">
        <v>237.91</v>
      </c>
      <c r="O310" s="422">
        <v>800</v>
      </c>
      <c r="P310" s="423"/>
      <c r="Q310" s="422">
        <v>800</v>
      </c>
      <c r="R310" s="109">
        <v>0</v>
      </c>
      <c r="S310" s="113">
        <v>800</v>
      </c>
      <c r="T310" s="113">
        <v>800</v>
      </c>
      <c r="U310" s="113">
        <v>0</v>
      </c>
      <c r="V310" s="113">
        <v>800</v>
      </c>
      <c r="W310" s="114">
        <v>0</v>
      </c>
      <c r="X310" s="115">
        <v>800</v>
      </c>
      <c r="Y310" s="116">
        <v>0</v>
      </c>
      <c r="Z310" s="115">
        <v>800</v>
      </c>
      <c r="AA310" s="572">
        <v>0</v>
      </c>
      <c r="AB310" s="115">
        <v>800</v>
      </c>
      <c r="AC310" s="572">
        <v>0</v>
      </c>
      <c r="AD310" s="115">
        <v>450</v>
      </c>
      <c r="AE310" s="572"/>
      <c r="AF310" s="855">
        <v>310</v>
      </c>
      <c r="AG310" s="766"/>
      <c r="AH310" s="855">
        <v>310</v>
      </c>
      <c r="AI310" s="855">
        <v>310</v>
      </c>
      <c r="AJ310" s="855">
        <v>310</v>
      </c>
      <c r="AK310" s="707" t="s">
        <v>445</v>
      </c>
      <c r="AL310" s="805"/>
      <c r="AM310" s="106"/>
      <c r="AN310" s="106"/>
    </row>
    <row r="311" spans="1:40">
      <c r="A311" s="80">
        <v>5</v>
      </c>
      <c r="B311" s="14" t="s">
        <v>16</v>
      </c>
      <c r="C311" s="14">
        <v>5</v>
      </c>
      <c r="D311" s="14" t="s">
        <v>16</v>
      </c>
      <c r="E311" s="15" t="s">
        <v>77</v>
      </c>
      <c r="F311" s="14" t="s">
        <v>16</v>
      </c>
      <c r="G311" s="81" t="s">
        <v>148</v>
      </c>
      <c r="H311" s="590" t="s">
        <v>314</v>
      </c>
      <c r="I311" s="281">
        <v>1060</v>
      </c>
      <c r="J311" s="109">
        <v>859.25</v>
      </c>
      <c r="K311" s="108">
        <v>1060</v>
      </c>
      <c r="L311" s="109">
        <v>335.45</v>
      </c>
      <c r="M311" s="108">
        <v>1060</v>
      </c>
      <c r="N311" s="109">
        <v>335.45</v>
      </c>
      <c r="O311" s="422">
        <v>1060</v>
      </c>
      <c r="P311" s="423"/>
      <c r="Q311" s="422">
        <v>1060</v>
      </c>
      <c r="R311" s="109">
        <v>117.73</v>
      </c>
      <c r="S311" s="113">
        <v>1060</v>
      </c>
      <c r="T311" s="113">
        <v>1060</v>
      </c>
      <c r="U311" s="113">
        <v>0</v>
      </c>
      <c r="V311" s="113">
        <v>1060</v>
      </c>
      <c r="W311" s="114">
        <v>0</v>
      </c>
      <c r="X311" s="115">
        <v>1060</v>
      </c>
      <c r="Y311" s="116">
        <v>-414.19</v>
      </c>
      <c r="Z311" s="115">
        <v>1060</v>
      </c>
      <c r="AA311" s="572">
        <v>-1042.72</v>
      </c>
      <c r="AB311" s="115">
        <v>1060</v>
      </c>
      <c r="AC311" s="572">
        <v>-1042.72</v>
      </c>
      <c r="AD311" s="115">
        <v>800</v>
      </c>
      <c r="AE311" s="572"/>
      <c r="AF311" s="855">
        <v>700</v>
      </c>
      <c r="AG311" s="766">
        <v>-566.95000000000005</v>
      </c>
      <c r="AH311" s="855">
        <v>700</v>
      </c>
      <c r="AI311" s="855">
        <v>700</v>
      </c>
      <c r="AJ311" s="855">
        <v>700</v>
      </c>
      <c r="AK311" s="707" t="s">
        <v>445</v>
      </c>
      <c r="AL311" s="805"/>
      <c r="AM311" s="106"/>
      <c r="AN311" s="106"/>
    </row>
    <row r="312" spans="1:40">
      <c r="A312" s="80">
        <v>5</v>
      </c>
      <c r="B312" s="14" t="s">
        <v>16</v>
      </c>
      <c r="C312" s="14">
        <v>5</v>
      </c>
      <c r="D312" s="14" t="s">
        <v>16</v>
      </c>
      <c r="E312" s="15" t="s">
        <v>77</v>
      </c>
      <c r="F312" s="14" t="s">
        <v>16</v>
      </c>
      <c r="G312" s="81" t="s">
        <v>194</v>
      </c>
      <c r="H312" s="590" t="s">
        <v>315</v>
      </c>
      <c r="I312" s="281">
        <v>1250</v>
      </c>
      <c r="J312" s="109">
        <v>1203.3399999999999</v>
      </c>
      <c r="K312" s="108">
        <v>1250</v>
      </c>
      <c r="L312" s="109">
        <v>644.03</v>
      </c>
      <c r="M312" s="108">
        <v>1250</v>
      </c>
      <c r="N312" s="109">
        <v>859.77</v>
      </c>
      <c r="O312" s="422">
        <v>1250</v>
      </c>
      <c r="P312" s="423"/>
      <c r="Q312" s="422">
        <v>1250</v>
      </c>
      <c r="R312" s="109">
        <v>0</v>
      </c>
      <c r="S312" s="113">
        <v>1250</v>
      </c>
      <c r="T312" s="113">
        <v>1250</v>
      </c>
      <c r="U312" s="113">
        <v>0</v>
      </c>
      <c r="V312" s="113">
        <v>1250</v>
      </c>
      <c r="W312" s="114">
        <v>0</v>
      </c>
      <c r="X312" s="115">
        <v>1250</v>
      </c>
      <c r="Y312" s="116">
        <v>-337.6</v>
      </c>
      <c r="Z312" s="115">
        <v>1250</v>
      </c>
      <c r="AA312" s="572">
        <v>-503.45</v>
      </c>
      <c r="AB312" s="115">
        <v>1250</v>
      </c>
      <c r="AC312" s="572">
        <v>-503.45</v>
      </c>
      <c r="AD312" s="115">
        <v>850</v>
      </c>
      <c r="AE312" s="572">
        <v>-1140.56</v>
      </c>
      <c r="AF312" s="855">
        <v>900</v>
      </c>
      <c r="AG312" s="766">
        <v>-943.34</v>
      </c>
      <c r="AH312" s="855">
        <v>900</v>
      </c>
      <c r="AI312" s="855">
        <v>900</v>
      </c>
      <c r="AJ312" s="855">
        <v>900</v>
      </c>
      <c r="AK312" s="707" t="s">
        <v>277</v>
      </c>
      <c r="AL312" s="805"/>
      <c r="AM312" s="106"/>
      <c r="AN312" s="106"/>
    </row>
    <row r="313" spans="1:40">
      <c r="A313" s="80">
        <v>5</v>
      </c>
      <c r="B313" s="14" t="s">
        <v>16</v>
      </c>
      <c r="C313" s="14">
        <v>5</v>
      </c>
      <c r="D313" s="14" t="s">
        <v>16</v>
      </c>
      <c r="E313" s="15" t="s">
        <v>77</v>
      </c>
      <c r="F313" s="14" t="s">
        <v>16</v>
      </c>
      <c r="G313" s="81" t="s">
        <v>195</v>
      </c>
      <c r="H313" s="107" t="s">
        <v>316</v>
      </c>
      <c r="I313" s="281">
        <v>950</v>
      </c>
      <c r="J313" s="109">
        <v>874.84</v>
      </c>
      <c r="K313" s="108">
        <v>950</v>
      </c>
      <c r="L313" s="109">
        <v>181.43</v>
      </c>
      <c r="M313" s="108">
        <v>950</v>
      </c>
      <c r="N313" s="109">
        <v>181.43</v>
      </c>
      <c r="O313" s="422">
        <v>950</v>
      </c>
      <c r="P313" s="423"/>
      <c r="Q313" s="422">
        <v>950</v>
      </c>
      <c r="R313" s="109">
        <v>0</v>
      </c>
      <c r="S313" s="113">
        <v>950</v>
      </c>
      <c r="T313" s="113">
        <v>950</v>
      </c>
      <c r="U313" s="113">
        <v>0</v>
      </c>
      <c r="V313" s="113">
        <v>950</v>
      </c>
      <c r="W313" s="114">
        <v>0</v>
      </c>
      <c r="X313" s="115">
        <v>950</v>
      </c>
      <c r="Y313" s="116">
        <v>0</v>
      </c>
      <c r="Z313" s="115">
        <v>950</v>
      </c>
      <c r="AA313" s="572">
        <v>-232.6</v>
      </c>
      <c r="AB313" s="115">
        <v>950</v>
      </c>
      <c r="AC313" s="572">
        <v>-232.6</v>
      </c>
      <c r="AD313" s="115">
        <v>600</v>
      </c>
      <c r="AE313" s="572">
        <v>-72.08</v>
      </c>
      <c r="AF313" s="855">
        <v>600</v>
      </c>
      <c r="AG313" s="766">
        <v>-326.58999999999997</v>
      </c>
      <c r="AH313" s="855">
        <v>600</v>
      </c>
      <c r="AI313" s="855">
        <v>600</v>
      </c>
      <c r="AJ313" s="115">
        <v>600</v>
      </c>
      <c r="AK313" s="707" t="s">
        <v>277</v>
      </c>
      <c r="AL313" s="805"/>
      <c r="AM313" s="106"/>
      <c r="AN313" s="106"/>
    </row>
    <row r="314" spans="1:40">
      <c r="A314" s="80">
        <v>5</v>
      </c>
      <c r="B314" s="14" t="s">
        <v>16</v>
      </c>
      <c r="C314" s="14">
        <v>5</v>
      </c>
      <c r="D314" s="14" t="s">
        <v>16</v>
      </c>
      <c r="E314" s="15" t="s">
        <v>77</v>
      </c>
      <c r="F314" s="14" t="s">
        <v>16</v>
      </c>
      <c r="G314" s="81" t="s">
        <v>198</v>
      </c>
      <c r="H314" s="590" t="s">
        <v>317</v>
      </c>
      <c r="I314" s="281">
        <v>840</v>
      </c>
      <c r="J314" s="109">
        <v>797.29</v>
      </c>
      <c r="K314" s="108">
        <v>840</v>
      </c>
      <c r="L314" s="109">
        <v>309.86</v>
      </c>
      <c r="M314" s="108">
        <v>840</v>
      </c>
      <c r="N314" s="109">
        <v>309.86</v>
      </c>
      <c r="O314" s="422">
        <v>840</v>
      </c>
      <c r="P314" s="423"/>
      <c r="Q314" s="422">
        <v>840</v>
      </c>
      <c r="R314" s="109">
        <v>0</v>
      </c>
      <c r="S314" s="113">
        <v>840</v>
      </c>
      <c r="T314" s="113">
        <v>840</v>
      </c>
      <c r="U314" s="113">
        <v>0</v>
      </c>
      <c r="V314" s="113">
        <v>840</v>
      </c>
      <c r="W314" s="114">
        <v>-104.6</v>
      </c>
      <c r="X314" s="115">
        <v>840</v>
      </c>
      <c r="Y314" s="116">
        <v>-333.31</v>
      </c>
      <c r="Z314" s="115">
        <v>840</v>
      </c>
      <c r="AA314" s="572">
        <v>-440.3</v>
      </c>
      <c r="AB314" s="115">
        <v>840</v>
      </c>
      <c r="AC314" s="572">
        <v>-440.3</v>
      </c>
      <c r="AD314" s="115">
        <v>650</v>
      </c>
      <c r="AE314" s="572">
        <v>-731.12</v>
      </c>
      <c r="AF314" s="855">
        <v>550</v>
      </c>
      <c r="AG314" s="766">
        <v>-40.24</v>
      </c>
      <c r="AH314" s="855">
        <v>550</v>
      </c>
      <c r="AI314" s="855">
        <v>550</v>
      </c>
      <c r="AJ314" s="115">
        <v>550</v>
      </c>
      <c r="AK314" s="707" t="s">
        <v>292</v>
      </c>
      <c r="AL314" s="805"/>
      <c r="AM314" s="106"/>
      <c r="AN314" s="106"/>
    </row>
    <row r="315" spans="1:40">
      <c r="A315" s="80">
        <v>5</v>
      </c>
      <c r="B315" s="14" t="s">
        <v>16</v>
      </c>
      <c r="C315" s="14">
        <v>5</v>
      </c>
      <c r="D315" s="14" t="s">
        <v>16</v>
      </c>
      <c r="E315" s="15" t="s">
        <v>77</v>
      </c>
      <c r="F315" s="14" t="s">
        <v>16</v>
      </c>
      <c r="G315" s="81" t="s">
        <v>318</v>
      </c>
      <c r="H315" s="590" t="s">
        <v>319</v>
      </c>
      <c r="I315" s="281">
        <v>1380</v>
      </c>
      <c r="J315" s="109">
        <v>663.52</v>
      </c>
      <c r="K315" s="108">
        <v>1380</v>
      </c>
      <c r="L315" s="109">
        <v>100.19</v>
      </c>
      <c r="M315" s="108">
        <v>1380</v>
      </c>
      <c r="N315" s="109">
        <v>339.92</v>
      </c>
      <c r="O315" s="422">
        <v>1380</v>
      </c>
      <c r="P315" s="423"/>
      <c r="Q315" s="422">
        <v>1380</v>
      </c>
      <c r="R315" s="109">
        <v>0</v>
      </c>
      <c r="S315" s="113">
        <v>1380</v>
      </c>
      <c r="T315" s="113">
        <v>1380</v>
      </c>
      <c r="U315" s="113">
        <v>0</v>
      </c>
      <c r="V315" s="113">
        <v>1380</v>
      </c>
      <c r="W315" s="114">
        <v>0</v>
      </c>
      <c r="X315" s="115">
        <v>1380</v>
      </c>
      <c r="Y315" s="116">
        <v>0</v>
      </c>
      <c r="Z315" s="115">
        <v>1380</v>
      </c>
      <c r="AA315" s="572">
        <v>-875.43</v>
      </c>
      <c r="AB315" s="115">
        <v>1380</v>
      </c>
      <c r="AC315" s="572">
        <v>-875.43</v>
      </c>
      <c r="AD315" s="115">
        <v>800</v>
      </c>
      <c r="AE315" s="572">
        <v>-921.36</v>
      </c>
      <c r="AF315" s="855">
        <v>550</v>
      </c>
      <c r="AG315" s="766">
        <v>-4.7</v>
      </c>
      <c r="AH315" s="855">
        <v>550</v>
      </c>
      <c r="AI315" s="855">
        <v>550</v>
      </c>
      <c r="AJ315" s="115">
        <v>550</v>
      </c>
      <c r="AK315" s="707" t="s">
        <v>292</v>
      </c>
      <c r="AL315" s="805"/>
      <c r="AM315" s="106"/>
      <c r="AN315" s="106"/>
    </row>
    <row r="316" spans="1:40">
      <c r="A316" s="80">
        <v>5</v>
      </c>
      <c r="B316" s="14" t="s">
        <v>16</v>
      </c>
      <c r="C316" s="14">
        <v>5</v>
      </c>
      <c r="D316" s="14" t="s">
        <v>16</v>
      </c>
      <c r="E316" s="15" t="s">
        <v>77</v>
      </c>
      <c r="F316" s="14" t="s">
        <v>16</v>
      </c>
      <c r="G316" s="81" t="s">
        <v>320</v>
      </c>
      <c r="H316" s="590" t="s">
        <v>321</v>
      </c>
      <c r="I316" s="281">
        <v>800</v>
      </c>
      <c r="J316" s="109">
        <v>422.37</v>
      </c>
      <c r="K316" s="108">
        <v>800</v>
      </c>
      <c r="L316" s="109">
        <v>250.27</v>
      </c>
      <c r="M316" s="108">
        <v>800</v>
      </c>
      <c r="N316" s="109">
        <v>595.16999999999996</v>
      </c>
      <c r="O316" s="422">
        <v>800</v>
      </c>
      <c r="P316" s="423"/>
      <c r="Q316" s="422">
        <v>800</v>
      </c>
      <c r="R316" s="109">
        <v>0</v>
      </c>
      <c r="S316" s="113">
        <v>800</v>
      </c>
      <c r="T316" s="113">
        <v>800</v>
      </c>
      <c r="U316" s="113">
        <v>-548.44000000000005</v>
      </c>
      <c r="V316" s="113">
        <v>800</v>
      </c>
      <c r="W316" s="114">
        <v>-548.44000000000005</v>
      </c>
      <c r="X316" s="115">
        <v>800</v>
      </c>
      <c r="Y316" s="116">
        <v>-200</v>
      </c>
      <c r="Z316" s="115">
        <v>800</v>
      </c>
      <c r="AA316" s="572">
        <v>-358.63</v>
      </c>
      <c r="AB316" s="115">
        <v>800</v>
      </c>
      <c r="AC316" s="572">
        <v>-358.63</v>
      </c>
      <c r="AD316" s="115">
        <v>600</v>
      </c>
      <c r="AE316" s="572">
        <v>-795.92</v>
      </c>
      <c r="AF316" s="855">
        <v>450</v>
      </c>
      <c r="AG316" s="766">
        <v>-203.21</v>
      </c>
      <c r="AH316" s="855">
        <v>450</v>
      </c>
      <c r="AI316" s="855">
        <v>450</v>
      </c>
      <c r="AJ316" s="115">
        <v>450</v>
      </c>
      <c r="AK316" s="707" t="s">
        <v>277</v>
      </c>
      <c r="AL316" s="805"/>
      <c r="AM316" s="106"/>
      <c r="AN316" s="106"/>
    </row>
    <row r="317" spans="1:40">
      <c r="A317" s="80">
        <v>5</v>
      </c>
      <c r="B317" s="14" t="s">
        <v>16</v>
      </c>
      <c r="C317" s="14">
        <v>5</v>
      </c>
      <c r="D317" s="14" t="s">
        <v>16</v>
      </c>
      <c r="E317" s="15" t="s">
        <v>77</v>
      </c>
      <c r="F317" s="14" t="s">
        <v>16</v>
      </c>
      <c r="G317" s="81" t="s">
        <v>322</v>
      </c>
      <c r="H317" s="107" t="s">
        <v>323</v>
      </c>
      <c r="I317" s="281">
        <v>1280</v>
      </c>
      <c r="J317" s="109">
        <v>776</v>
      </c>
      <c r="K317" s="108">
        <v>1280</v>
      </c>
      <c r="L317" s="109">
        <v>255.33</v>
      </c>
      <c r="M317" s="108">
        <v>1280</v>
      </c>
      <c r="N317" s="109">
        <v>255.33</v>
      </c>
      <c r="O317" s="422">
        <v>1280</v>
      </c>
      <c r="P317" s="423"/>
      <c r="Q317" s="422">
        <v>1280</v>
      </c>
      <c r="R317" s="109">
        <v>0</v>
      </c>
      <c r="S317" s="113">
        <v>1280</v>
      </c>
      <c r="T317" s="113">
        <v>1280</v>
      </c>
      <c r="U317" s="113">
        <v>-400.19</v>
      </c>
      <c r="V317" s="113">
        <v>1280</v>
      </c>
      <c r="W317" s="114">
        <v>-400.19</v>
      </c>
      <c r="X317" s="115">
        <v>1280</v>
      </c>
      <c r="Y317" s="116">
        <v>-372</v>
      </c>
      <c r="Z317" s="115">
        <v>1280</v>
      </c>
      <c r="AA317" s="572">
        <v>-1280</v>
      </c>
      <c r="AB317" s="115">
        <v>1280</v>
      </c>
      <c r="AC317" s="572">
        <v>-1280</v>
      </c>
      <c r="AD317" s="115">
        <v>1000</v>
      </c>
      <c r="AE317" s="572">
        <v>-1280</v>
      </c>
      <c r="AF317" s="855">
        <v>1000</v>
      </c>
      <c r="AG317" s="766">
        <v>-732.27</v>
      </c>
      <c r="AH317" s="855">
        <v>1000</v>
      </c>
      <c r="AI317" s="855">
        <v>1000</v>
      </c>
      <c r="AJ317" s="115">
        <v>1000</v>
      </c>
      <c r="AK317" s="707" t="s">
        <v>277</v>
      </c>
      <c r="AL317" s="805"/>
      <c r="AM317" s="106"/>
      <c r="AN317" s="106"/>
    </row>
    <row r="318" spans="1:40">
      <c r="A318" s="80">
        <v>5</v>
      </c>
      <c r="B318" s="14" t="s">
        <v>16</v>
      </c>
      <c r="C318" s="14">
        <v>5</v>
      </c>
      <c r="D318" s="14" t="s">
        <v>16</v>
      </c>
      <c r="E318" s="15" t="s">
        <v>77</v>
      </c>
      <c r="F318" s="14" t="s">
        <v>16</v>
      </c>
      <c r="G318" s="81" t="s">
        <v>179</v>
      </c>
      <c r="H318" s="590" t="s">
        <v>324</v>
      </c>
      <c r="I318" s="281">
        <v>1290</v>
      </c>
      <c r="J318" s="109">
        <v>1048.3800000000001</v>
      </c>
      <c r="K318" s="108">
        <v>1290</v>
      </c>
      <c r="L318" s="109">
        <v>906.45</v>
      </c>
      <c r="M318" s="108">
        <v>1290</v>
      </c>
      <c r="N318" s="109">
        <v>906.45</v>
      </c>
      <c r="O318" s="422">
        <v>1290</v>
      </c>
      <c r="P318" s="423"/>
      <c r="Q318" s="422">
        <v>1290</v>
      </c>
      <c r="R318" s="109">
        <v>0</v>
      </c>
      <c r="S318" s="113">
        <v>1290</v>
      </c>
      <c r="T318" s="113">
        <v>1290</v>
      </c>
      <c r="U318" s="113">
        <v>-289</v>
      </c>
      <c r="V318" s="113">
        <v>1290</v>
      </c>
      <c r="W318" s="114">
        <v>-289</v>
      </c>
      <c r="X318" s="115">
        <v>1290</v>
      </c>
      <c r="Y318" s="116">
        <v>-35.76</v>
      </c>
      <c r="Z318" s="115">
        <v>1290</v>
      </c>
      <c r="AA318" s="572">
        <v>-1377.66</v>
      </c>
      <c r="AB318" s="115">
        <v>1290</v>
      </c>
      <c r="AC318" s="572">
        <v>-1377.66</v>
      </c>
      <c r="AD318" s="115">
        <v>1250</v>
      </c>
      <c r="AE318" s="572">
        <v>-1598.61</v>
      </c>
      <c r="AF318" s="855">
        <v>1250</v>
      </c>
      <c r="AG318" s="766">
        <v>-1294.1199999999999</v>
      </c>
      <c r="AH318" s="855">
        <v>1250</v>
      </c>
      <c r="AI318" s="855">
        <v>1250</v>
      </c>
      <c r="AJ318" s="115">
        <v>1250</v>
      </c>
      <c r="AK318" s="707" t="s">
        <v>292</v>
      </c>
      <c r="AL318" s="805"/>
      <c r="AM318" s="106"/>
      <c r="AN318" s="106"/>
    </row>
    <row r="319" spans="1:40">
      <c r="A319" s="80">
        <v>5</v>
      </c>
      <c r="B319" s="14" t="s">
        <v>16</v>
      </c>
      <c r="C319" s="14">
        <v>5</v>
      </c>
      <c r="D319" s="14" t="s">
        <v>16</v>
      </c>
      <c r="E319" s="15" t="s">
        <v>77</v>
      </c>
      <c r="F319" s="14" t="s">
        <v>16</v>
      </c>
      <c r="G319" s="81" t="s">
        <v>325</v>
      </c>
      <c r="H319" s="590" t="s">
        <v>326</v>
      </c>
      <c r="I319" s="281">
        <v>800</v>
      </c>
      <c r="J319" s="109">
        <v>0</v>
      </c>
      <c r="K319" s="108">
        <v>800</v>
      </c>
      <c r="L319" s="109">
        <v>0</v>
      </c>
      <c r="M319" s="108">
        <v>800</v>
      </c>
      <c r="N319" s="109">
        <v>0</v>
      </c>
      <c r="O319" s="422">
        <v>800</v>
      </c>
      <c r="P319" s="423"/>
      <c r="Q319" s="422">
        <v>800</v>
      </c>
      <c r="R319" s="109">
        <v>0</v>
      </c>
      <c r="S319" s="113">
        <v>800</v>
      </c>
      <c r="T319" s="113">
        <v>800</v>
      </c>
      <c r="U319" s="113">
        <v>0</v>
      </c>
      <c r="V319" s="113">
        <v>800</v>
      </c>
      <c r="W319" s="114">
        <v>0</v>
      </c>
      <c r="X319" s="115">
        <v>800</v>
      </c>
      <c r="Y319" s="116">
        <v>-373.07</v>
      </c>
      <c r="Z319" s="115">
        <v>800</v>
      </c>
      <c r="AA319" s="572">
        <v>-541.57000000000005</v>
      </c>
      <c r="AB319" s="115">
        <v>800</v>
      </c>
      <c r="AC319" s="572">
        <v>-541.57000000000005</v>
      </c>
      <c r="AD319" s="115">
        <v>400</v>
      </c>
      <c r="AE319" s="572"/>
      <c r="AF319" s="855">
        <v>400</v>
      </c>
      <c r="AG319" s="766">
        <v>-155.82</v>
      </c>
      <c r="AH319" s="855">
        <v>400</v>
      </c>
      <c r="AI319" s="855">
        <v>400</v>
      </c>
      <c r="AJ319" s="855">
        <v>400</v>
      </c>
      <c r="AK319" s="707" t="s">
        <v>277</v>
      </c>
      <c r="AL319" s="805"/>
      <c r="AM319" s="106"/>
      <c r="AN319" s="106"/>
    </row>
    <row r="320" spans="1:40">
      <c r="A320" s="80">
        <v>5</v>
      </c>
      <c r="B320" s="14" t="s">
        <v>16</v>
      </c>
      <c r="C320" s="14">
        <v>5</v>
      </c>
      <c r="D320" s="14" t="s">
        <v>16</v>
      </c>
      <c r="E320" s="15" t="s">
        <v>77</v>
      </c>
      <c r="F320" s="14" t="s">
        <v>16</v>
      </c>
      <c r="G320" s="81" t="s">
        <v>327</v>
      </c>
      <c r="H320" s="590" t="s">
        <v>328</v>
      </c>
      <c r="I320" s="281">
        <v>1350</v>
      </c>
      <c r="J320" s="109">
        <v>404.5</v>
      </c>
      <c r="K320" s="108">
        <v>1350</v>
      </c>
      <c r="L320" s="109">
        <v>261.93</v>
      </c>
      <c r="M320" s="108">
        <v>1350</v>
      </c>
      <c r="N320" s="109">
        <v>261.93</v>
      </c>
      <c r="O320" s="422">
        <v>1350</v>
      </c>
      <c r="P320" s="423"/>
      <c r="Q320" s="422">
        <v>1350</v>
      </c>
      <c r="R320" s="109">
        <v>0</v>
      </c>
      <c r="S320" s="113">
        <v>1350</v>
      </c>
      <c r="T320" s="113">
        <v>1350</v>
      </c>
      <c r="U320" s="113">
        <v>0</v>
      </c>
      <c r="V320" s="113">
        <v>1350</v>
      </c>
      <c r="W320" s="114">
        <v>-128.91</v>
      </c>
      <c r="X320" s="115">
        <v>1350</v>
      </c>
      <c r="Y320" s="116">
        <v>-1031.49</v>
      </c>
      <c r="Z320" s="115">
        <v>1350</v>
      </c>
      <c r="AA320" s="572">
        <v>-1350</v>
      </c>
      <c r="AB320" s="115">
        <v>1350</v>
      </c>
      <c r="AC320" s="572">
        <v>-1350</v>
      </c>
      <c r="AD320" s="115">
        <v>900</v>
      </c>
      <c r="AE320" s="572">
        <v>-1244.1099999999999</v>
      </c>
      <c r="AF320" s="855">
        <v>1000</v>
      </c>
      <c r="AG320" s="766">
        <v>-472.12</v>
      </c>
      <c r="AH320" s="855">
        <v>1000</v>
      </c>
      <c r="AI320" s="855">
        <v>1000</v>
      </c>
      <c r="AJ320" s="855">
        <v>1000</v>
      </c>
      <c r="AK320" s="707" t="s">
        <v>277</v>
      </c>
      <c r="AL320" s="805"/>
      <c r="AM320" s="106"/>
      <c r="AN320" s="106"/>
    </row>
    <row r="321" spans="1:40">
      <c r="A321" s="80">
        <v>5</v>
      </c>
      <c r="B321" s="14" t="s">
        <v>16</v>
      </c>
      <c r="C321" s="14">
        <v>5</v>
      </c>
      <c r="D321" s="14" t="s">
        <v>16</v>
      </c>
      <c r="E321" s="15" t="s">
        <v>77</v>
      </c>
      <c r="F321" s="14" t="s">
        <v>16</v>
      </c>
      <c r="G321" s="81" t="s">
        <v>329</v>
      </c>
      <c r="H321" s="590" t="s">
        <v>330</v>
      </c>
      <c r="I321" s="281">
        <v>1600</v>
      </c>
      <c r="J321" s="109">
        <v>677.8</v>
      </c>
      <c r="K321" s="108">
        <v>1600</v>
      </c>
      <c r="L321" s="109">
        <v>724.06</v>
      </c>
      <c r="M321" s="108">
        <v>1600</v>
      </c>
      <c r="N321" s="109">
        <v>840.24</v>
      </c>
      <c r="O321" s="422">
        <v>1600</v>
      </c>
      <c r="P321" s="423"/>
      <c r="Q321" s="422">
        <v>1600</v>
      </c>
      <c r="R321" s="109">
        <v>0</v>
      </c>
      <c r="S321" s="113">
        <v>1600</v>
      </c>
      <c r="T321" s="113">
        <v>1600</v>
      </c>
      <c r="U321" s="113">
        <v>-397.31</v>
      </c>
      <c r="V321" s="113">
        <v>1600</v>
      </c>
      <c r="W321" s="114">
        <v>-528.77</v>
      </c>
      <c r="X321" s="115">
        <v>1600</v>
      </c>
      <c r="Y321" s="116">
        <v>-1121.06</v>
      </c>
      <c r="Z321" s="115">
        <v>1600</v>
      </c>
      <c r="AA321" s="572">
        <v>-1604.49</v>
      </c>
      <c r="AB321" s="115">
        <v>1600</v>
      </c>
      <c r="AC321" s="572">
        <v>-1604.49</v>
      </c>
      <c r="AD321" s="115">
        <v>1300</v>
      </c>
      <c r="AE321" s="572">
        <v>-1460.78</v>
      </c>
      <c r="AF321" s="855">
        <v>1250</v>
      </c>
      <c r="AG321" s="766">
        <v>-406.51</v>
      </c>
      <c r="AH321" s="855">
        <v>1250</v>
      </c>
      <c r="AI321" s="855">
        <v>1250</v>
      </c>
      <c r="AJ321" s="855">
        <v>1250</v>
      </c>
      <c r="AK321" s="707" t="s">
        <v>277</v>
      </c>
      <c r="AL321" s="805"/>
      <c r="AM321" s="106"/>
      <c r="AN321" s="106"/>
    </row>
    <row r="322" spans="1:40">
      <c r="A322" s="80">
        <v>5</v>
      </c>
      <c r="B322" s="14" t="s">
        <v>16</v>
      </c>
      <c r="C322" s="14">
        <v>5</v>
      </c>
      <c r="D322" s="14" t="s">
        <v>16</v>
      </c>
      <c r="E322" s="15" t="s">
        <v>77</v>
      </c>
      <c r="F322" s="14" t="s">
        <v>16</v>
      </c>
      <c r="G322" s="81" t="s">
        <v>331</v>
      </c>
      <c r="H322" s="590" t="s">
        <v>332</v>
      </c>
      <c r="I322" s="281">
        <v>1180</v>
      </c>
      <c r="J322" s="109">
        <v>1114.52</v>
      </c>
      <c r="K322" s="108">
        <v>1180</v>
      </c>
      <c r="L322" s="109">
        <v>94.14</v>
      </c>
      <c r="M322" s="108">
        <v>1180</v>
      </c>
      <c r="N322" s="109">
        <v>94.14</v>
      </c>
      <c r="O322" s="422">
        <v>1180</v>
      </c>
      <c r="P322" s="423"/>
      <c r="Q322" s="422">
        <v>1180</v>
      </c>
      <c r="R322" s="109">
        <v>0</v>
      </c>
      <c r="S322" s="113">
        <v>1180</v>
      </c>
      <c r="T322" s="113">
        <v>1180</v>
      </c>
      <c r="U322" s="113">
        <v>0</v>
      </c>
      <c r="V322" s="113">
        <v>1180</v>
      </c>
      <c r="W322" s="114">
        <v>0</v>
      </c>
      <c r="X322" s="115">
        <v>1180</v>
      </c>
      <c r="Y322" s="116">
        <v>-75.22</v>
      </c>
      <c r="Z322" s="115">
        <v>1180</v>
      </c>
      <c r="AA322" s="572">
        <v>-1236.73</v>
      </c>
      <c r="AB322" s="115">
        <v>1180</v>
      </c>
      <c r="AC322" s="572">
        <v>-1236.73</v>
      </c>
      <c r="AD322" s="115">
        <v>950</v>
      </c>
      <c r="AE322" s="572">
        <v>-1180</v>
      </c>
      <c r="AF322" s="855">
        <v>950</v>
      </c>
      <c r="AG322" s="766">
        <v>-243.33</v>
      </c>
      <c r="AH322" s="855">
        <v>950</v>
      </c>
      <c r="AI322" s="855">
        <v>950</v>
      </c>
      <c r="AJ322" s="855">
        <v>950</v>
      </c>
      <c r="AK322" s="707" t="s">
        <v>277</v>
      </c>
      <c r="AL322" s="805"/>
      <c r="AM322" s="106"/>
      <c r="AN322" s="106"/>
    </row>
    <row r="323" spans="1:40">
      <c r="A323" s="80">
        <v>5</v>
      </c>
      <c r="B323" s="14" t="s">
        <v>16</v>
      </c>
      <c r="C323" s="14">
        <v>5</v>
      </c>
      <c r="D323" s="14" t="s">
        <v>16</v>
      </c>
      <c r="E323" s="15" t="s">
        <v>77</v>
      </c>
      <c r="F323" s="14" t="s">
        <v>16</v>
      </c>
      <c r="G323" s="81" t="s">
        <v>333</v>
      </c>
      <c r="H323" s="590" t="s">
        <v>334</v>
      </c>
      <c r="I323" s="281">
        <v>1190</v>
      </c>
      <c r="J323" s="109">
        <v>209.2</v>
      </c>
      <c r="K323" s="108">
        <v>1190</v>
      </c>
      <c r="L323" s="109">
        <v>0</v>
      </c>
      <c r="M323" s="108">
        <v>1190</v>
      </c>
      <c r="N323" s="109">
        <v>0</v>
      </c>
      <c r="O323" s="422">
        <v>1190</v>
      </c>
      <c r="P323" s="423"/>
      <c r="Q323" s="422">
        <v>1190</v>
      </c>
      <c r="R323" s="109">
        <v>338.35</v>
      </c>
      <c r="S323" s="113">
        <v>1190</v>
      </c>
      <c r="T323" s="113">
        <v>1190</v>
      </c>
      <c r="U323" s="113">
        <v>0</v>
      </c>
      <c r="V323" s="113">
        <v>1190</v>
      </c>
      <c r="W323" s="114">
        <v>-234.15</v>
      </c>
      <c r="X323" s="115">
        <v>1190</v>
      </c>
      <c r="Y323" s="116">
        <v>-145.22</v>
      </c>
      <c r="Z323" s="115">
        <v>1190</v>
      </c>
      <c r="AA323" s="572">
        <v>-455.12</v>
      </c>
      <c r="AB323" s="115">
        <v>1190</v>
      </c>
      <c r="AC323" s="572">
        <v>-455.12</v>
      </c>
      <c r="AD323" s="115">
        <v>450</v>
      </c>
      <c r="AE323" s="572">
        <v>-151</v>
      </c>
      <c r="AF323" s="855">
        <v>350</v>
      </c>
      <c r="AG323" s="766">
        <v>-281.08999999999997</v>
      </c>
      <c r="AH323" s="855">
        <v>350</v>
      </c>
      <c r="AI323" s="855">
        <v>350</v>
      </c>
      <c r="AJ323" s="855">
        <v>350</v>
      </c>
      <c r="AK323" s="707" t="s">
        <v>277</v>
      </c>
      <c r="AL323" s="805"/>
      <c r="AM323" s="106"/>
      <c r="AN323" s="106"/>
    </row>
    <row r="324" spans="1:40">
      <c r="A324" s="80">
        <v>5</v>
      </c>
      <c r="B324" s="14" t="s">
        <v>16</v>
      </c>
      <c r="C324" s="14">
        <v>5</v>
      </c>
      <c r="D324" s="14" t="s">
        <v>16</v>
      </c>
      <c r="E324" s="15" t="s">
        <v>77</v>
      </c>
      <c r="F324" s="14" t="s">
        <v>16</v>
      </c>
      <c r="G324" s="81" t="s">
        <v>335</v>
      </c>
      <c r="H324" s="590" t="s">
        <v>451</v>
      </c>
      <c r="I324" s="281">
        <v>850</v>
      </c>
      <c r="J324" s="109">
        <v>148.52000000000001</v>
      </c>
      <c r="K324" s="108">
        <v>850</v>
      </c>
      <c r="L324" s="109">
        <v>47.17</v>
      </c>
      <c r="M324" s="108">
        <v>850</v>
      </c>
      <c r="N324" s="109">
        <v>47.17</v>
      </c>
      <c r="O324" s="422">
        <v>850</v>
      </c>
      <c r="P324" s="423"/>
      <c r="Q324" s="422">
        <v>850</v>
      </c>
      <c r="R324" s="109">
        <v>0</v>
      </c>
      <c r="S324" s="113">
        <v>850</v>
      </c>
      <c r="T324" s="113">
        <v>850</v>
      </c>
      <c r="U324" s="113">
        <v>-77.989999999999995</v>
      </c>
      <c r="V324" s="113">
        <v>850</v>
      </c>
      <c r="W324" s="114">
        <v>-400.09</v>
      </c>
      <c r="X324" s="115">
        <v>850</v>
      </c>
      <c r="Y324" s="116">
        <v>-394.62</v>
      </c>
      <c r="Z324" s="115">
        <v>850</v>
      </c>
      <c r="AA324" s="572">
        <v>-467.72</v>
      </c>
      <c r="AB324" s="115">
        <v>850</v>
      </c>
      <c r="AC324" s="572">
        <v>-467.72</v>
      </c>
      <c r="AD324" s="115">
        <v>350</v>
      </c>
      <c r="AE324" s="572">
        <v>-836.68</v>
      </c>
      <c r="AF324" s="855">
        <v>500</v>
      </c>
      <c r="AG324" s="766">
        <v>-196.39</v>
      </c>
      <c r="AH324" s="855">
        <v>500</v>
      </c>
      <c r="AI324" s="855">
        <v>500</v>
      </c>
      <c r="AJ324" s="855">
        <v>500</v>
      </c>
      <c r="AK324" s="707" t="s">
        <v>428</v>
      </c>
      <c r="AL324" s="805"/>
      <c r="AM324" s="106"/>
      <c r="AN324" s="106"/>
    </row>
    <row r="325" spans="1:40">
      <c r="A325" s="80">
        <v>5</v>
      </c>
      <c r="B325" s="14" t="s">
        <v>16</v>
      </c>
      <c r="C325" s="14">
        <v>5</v>
      </c>
      <c r="D325" s="14" t="s">
        <v>16</v>
      </c>
      <c r="E325" s="15" t="s">
        <v>77</v>
      </c>
      <c r="F325" s="14" t="s">
        <v>16</v>
      </c>
      <c r="G325" s="81" t="s">
        <v>336</v>
      </c>
      <c r="H325" s="590" t="s">
        <v>337</v>
      </c>
      <c r="I325" s="281">
        <v>800</v>
      </c>
      <c r="J325" s="109">
        <v>800.36</v>
      </c>
      <c r="K325" s="108">
        <v>800</v>
      </c>
      <c r="L325" s="109">
        <v>148.94</v>
      </c>
      <c r="M325" s="108">
        <v>800</v>
      </c>
      <c r="N325" s="109">
        <v>148.94</v>
      </c>
      <c r="O325" s="422">
        <v>800</v>
      </c>
      <c r="P325" s="423"/>
      <c r="Q325" s="422">
        <v>800</v>
      </c>
      <c r="R325" s="109">
        <v>0</v>
      </c>
      <c r="S325" s="113">
        <v>800</v>
      </c>
      <c r="T325" s="113">
        <v>800</v>
      </c>
      <c r="U325" s="113">
        <v>0</v>
      </c>
      <c r="V325" s="113">
        <v>800</v>
      </c>
      <c r="W325" s="114">
        <v>0</v>
      </c>
      <c r="X325" s="115">
        <v>800</v>
      </c>
      <c r="Y325" s="116">
        <v>-66</v>
      </c>
      <c r="Z325" s="115">
        <v>800</v>
      </c>
      <c r="AA325" s="572">
        <v>-435.81</v>
      </c>
      <c r="AB325" s="115">
        <v>800</v>
      </c>
      <c r="AC325" s="572">
        <v>-435.81</v>
      </c>
      <c r="AD325" s="115">
        <v>550</v>
      </c>
      <c r="AE325" s="572"/>
      <c r="AF325" s="855">
        <v>420</v>
      </c>
      <c r="AG325" s="766">
        <v>-451.35</v>
      </c>
      <c r="AH325" s="855">
        <v>420</v>
      </c>
      <c r="AI325" s="855">
        <v>420</v>
      </c>
      <c r="AJ325" s="855">
        <v>420</v>
      </c>
      <c r="AK325" s="707" t="s">
        <v>445</v>
      </c>
      <c r="AL325" s="805"/>
      <c r="AM325" s="106"/>
      <c r="AN325" s="106"/>
    </row>
    <row r="326" spans="1:40">
      <c r="A326" s="80">
        <v>5</v>
      </c>
      <c r="B326" s="14" t="s">
        <v>16</v>
      </c>
      <c r="C326" s="14">
        <v>5</v>
      </c>
      <c r="D326" s="14" t="s">
        <v>16</v>
      </c>
      <c r="E326" s="15" t="s">
        <v>77</v>
      </c>
      <c r="F326" s="14" t="s">
        <v>16</v>
      </c>
      <c r="G326" s="81" t="s">
        <v>338</v>
      </c>
      <c r="H326" s="590" t="s">
        <v>453</v>
      </c>
      <c r="I326" s="281">
        <v>1520</v>
      </c>
      <c r="J326" s="109">
        <v>823.9</v>
      </c>
      <c r="K326" s="108">
        <v>1520</v>
      </c>
      <c r="L326" s="109">
        <v>0</v>
      </c>
      <c r="M326" s="108">
        <v>1520</v>
      </c>
      <c r="N326" s="109">
        <v>1482.89</v>
      </c>
      <c r="O326" s="422">
        <v>1520</v>
      </c>
      <c r="P326" s="423"/>
      <c r="Q326" s="422">
        <v>1520</v>
      </c>
      <c r="R326" s="109">
        <v>28.52</v>
      </c>
      <c r="S326" s="113">
        <v>1520</v>
      </c>
      <c r="T326" s="113">
        <v>1520</v>
      </c>
      <c r="U326" s="113">
        <v>0</v>
      </c>
      <c r="V326" s="113">
        <v>1520</v>
      </c>
      <c r="W326" s="114">
        <v>-125.56</v>
      </c>
      <c r="X326" s="115">
        <v>1520</v>
      </c>
      <c r="Y326" s="116">
        <v>-491.92</v>
      </c>
      <c r="Z326" s="115">
        <v>1520</v>
      </c>
      <c r="AA326" s="572">
        <v>-1518.1</v>
      </c>
      <c r="AB326" s="115">
        <v>1520</v>
      </c>
      <c r="AC326" s="572">
        <v>-1518.1</v>
      </c>
      <c r="AD326" s="115">
        <v>1200</v>
      </c>
      <c r="AE326" s="572">
        <v>-1588.3</v>
      </c>
      <c r="AF326" s="855">
        <v>1200</v>
      </c>
      <c r="AG326" s="766">
        <v>-1372.32</v>
      </c>
      <c r="AH326" s="855">
        <v>1200</v>
      </c>
      <c r="AI326" s="855">
        <v>1200</v>
      </c>
      <c r="AJ326" s="115">
        <v>1200</v>
      </c>
      <c r="AK326" s="707" t="s">
        <v>277</v>
      </c>
      <c r="AL326" s="805"/>
      <c r="AM326" s="106"/>
      <c r="AN326" s="106"/>
    </row>
    <row r="327" spans="1:40">
      <c r="A327" s="80">
        <v>5</v>
      </c>
      <c r="B327" s="14" t="s">
        <v>16</v>
      </c>
      <c r="C327" s="14">
        <v>5</v>
      </c>
      <c r="D327" s="14" t="s">
        <v>16</v>
      </c>
      <c r="E327" s="15" t="s">
        <v>77</v>
      </c>
      <c r="F327" s="14" t="s">
        <v>16</v>
      </c>
      <c r="G327" s="81" t="s">
        <v>339</v>
      </c>
      <c r="H327" s="590" t="s">
        <v>340</v>
      </c>
      <c r="I327" s="281">
        <v>860</v>
      </c>
      <c r="J327" s="109">
        <v>511.22</v>
      </c>
      <c r="K327" s="108">
        <v>860</v>
      </c>
      <c r="L327" s="109">
        <v>77.5</v>
      </c>
      <c r="M327" s="108">
        <v>860</v>
      </c>
      <c r="N327" s="109">
        <v>77.5</v>
      </c>
      <c r="O327" s="422">
        <v>860</v>
      </c>
      <c r="P327" s="423"/>
      <c r="Q327" s="422">
        <v>860</v>
      </c>
      <c r="R327" s="109">
        <v>0</v>
      </c>
      <c r="S327" s="113">
        <v>860</v>
      </c>
      <c r="T327" s="113">
        <v>860</v>
      </c>
      <c r="U327" s="113">
        <v>-93.26</v>
      </c>
      <c r="V327" s="113">
        <v>860</v>
      </c>
      <c r="W327" s="114">
        <v>-93.26</v>
      </c>
      <c r="X327" s="115">
        <v>860</v>
      </c>
      <c r="Y327" s="116">
        <v>0</v>
      </c>
      <c r="Z327" s="115">
        <v>860</v>
      </c>
      <c r="AA327" s="572">
        <v>0</v>
      </c>
      <c r="AB327" s="115">
        <v>860</v>
      </c>
      <c r="AC327" s="572">
        <v>0</v>
      </c>
      <c r="AD327" s="115">
        <v>250</v>
      </c>
      <c r="AE327" s="572"/>
      <c r="AF327" s="855">
        <v>250</v>
      </c>
      <c r="AG327" s="766"/>
      <c r="AH327" s="855">
        <v>250</v>
      </c>
      <c r="AI327" s="855">
        <v>250</v>
      </c>
      <c r="AJ327" s="115">
        <v>250</v>
      </c>
      <c r="AK327" s="707" t="s">
        <v>277</v>
      </c>
      <c r="AL327" s="805"/>
      <c r="AM327" s="106"/>
      <c r="AN327" s="106"/>
    </row>
    <row r="328" spans="1:40">
      <c r="A328" s="80">
        <v>5</v>
      </c>
      <c r="B328" s="14" t="s">
        <v>16</v>
      </c>
      <c r="C328" s="14">
        <v>5</v>
      </c>
      <c r="D328" s="14" t="s">
        <v>16</v>
      </c>
      <c r="E328" s="15" t="s">
        <v>77</v>
      </c>
      <c r="F328" s="14" t="s">
        <v>16</v>
      </c>
      <c r="G328" s="81" t="s">
        <v>341</v>
      </c>
      <c r="H328" s="590" t="s">
        <v>342</v>
      </c>
      <c r="I328" s="281">
        <v>900</v>
      </c>
      <c r="J328" s="109">
        <v>740.65</v>
      </c>
      <c r="K328" s="108">
        <v>900</v>
      </c>
      <c r="L328" s="109">
        <v>416.04</v>
      </c>
      <c r="M328" s="108">
        <v>900</v>
      </c>
      <c r="N328" s="109">
        <v>494.4</v>
      </c>
      <c r="O328" s="422">
        <v>900</v>
      </c>
      <c r="P328" s="423"/>
      <c r="Q328" s="422">
        <v>900</v>
      </c>
      <c r="R328" s="109">
        <v>84.89</v>
      </c>
      <c r="S328" s="113">
        <v>900</v>
      </c>
      <c r="T328" s="113">
        <v>900</v>
      </c>
      <c r="U328" s="113">
        <v>0</v>
      </c>
      <c r="V328" s="113">
        <v>900</v>
      </c>
      <c r="W328" s="114">
        <v>0</v>
      </c>
      <c r="X328" s="115">
        <v>900</v>
      </c>
      <c r="Y328" s="116">
        <v>-373.7</v>
      </c>
      <c r="Z328" s="115">
        <v>900</v>
      </c>
      <c r="AA328" s="572">
        <v>-900</v>
      </c>
      <c r="AB328" s="115">
        <v>900</v>
      </c>
      <c r="AC328" s="572">
        <v>-900</v>
      </c>
      <c r="AD328" s="115">
        <v>500</v>
      </c>
      <c r="AE328" s="572">
        <v>-752.98</v>
      </c>
      <c r="AF328" s="855">
        <v>550</v>
      </c>
      <c r="AG328" s="766"/>
      <c r="AH328" s="855">
        <v>550</v>
      </c>
      <c r="AI328" s="855">
        <v>550</v>
      </c>
      <c r="AJ328" s="855">
        <v>550</v>
      </c>
      <c r="AK328" s="707" t="s">
        <v>277</v>
      </c>
      <c r="AL328" s="805"/>
      <c r="AM328" s="106"/>
      <c r="AN328" s="106"/>
    </row>
    <row r="329" spans="1:40">
      <c r="A329" s="80">
        <v>5</v>
      </c>
      <c r="B329" s="14" t="s">
        <v>16</v>
      </c>
      <c r="C329" s="14">
        <v>5</v>
      </c>
      <c r="D329" s="14" t="s">
        <v>16</v>
      </c>
      <c r="E329" s="15" t="s">
        <v>77</v>
      </c>
      <c r="F329" s="14" t="s">
        <v>16</v>
      </c>
      <c r="G329" s="81" t="s">
        <v>343</v>
      </c>
      <c r="H329" s="590" t="s">
        <v>344</v>
      </c>
      <c r="I329" s="281">
        <v>800</v>
      </c>
      <c r="J329" s="109">
        <v>494.26</v>
      </c>
      <c r="K329" s="108">
        <v>800</v>
      </c>
      <c r="L329" s="109">
        <v>0</v>
      </c>
      <c r="M329" s="108">
        <v>800</v>
      </c>
      <c r="N329" s="109">
        <v>344.26</v>
      </c>
      <c r="O329" s="422">
        <v>800</v>
      </c>
      <c r="P329" s="423"/>
      <c r="Q329" s="422">
        <v>800</v>
      </c>
      <c r="R329" s="109">
        <v>0</v>
      </c>
      <c r="S329" s="113">
        <v>800</v>
      </c>
      <c r="T329" s="113">
        <v>800</v>
      </c>
      <c r="U329" s="113">
        <v>-49</v>
      </c>
      <c r="V329" s="113">
        <v>800</v>
      </c>
      <c r="W329" s="114">
        <v>-49</v>
      </c>
      <c r="X329" s="115">
        <v>800</v>
      </c>
      <c r="Y329" s="116">
        <v>0</v>
      </c>
      <c r="Z329" s="115">
        <v>800</v>
      </c>
      <c r="AA329" s="572">
        <v>0</v>
      </c>
      <c r="AB329" s="115">
        <v>800</v>
      </c>
      <c r="AC329" s="572">
        <v>0</v>
      </c>
      <c r="AD329" s="115">
        <v>350</v>
      </c>
      <c r="AE329" s="572"/>
      <c r="AF329" s="855">
        <v>200</v>
      </c>
      <c r="AG329" s="766">
        <v>-128.31</v>
      </c>
      <c r="AH329" s="855">
        <v>200</v>
      </c>
      <c r="AI329" s="855">
        <v>200</v>
      </c>
      <c r="AJ329" s="855">
        <v>200</v>
      </c>
      <c r="AK329" s="707" t="s">
        <v>277</v>
      </c>
      <c r="AL329" s="805"/>
      <c r="AM329" s="106"/>
      <c r="AN329" s="106"/>
    </row>
    <row r="330" spans="1:40">
      <c r="A330" s="80">
        <v>5</v>
      </c>
      <c r="B330" s="14" t="s">
        <v>16</v>
      </c>
      <c r="C330" s="14">
        <v>5</v>
      </c>
      <c r="D330" s="14" t="s">
        <v>16</v>
      </c>
      <c r="E330" s="15" t="s">
        <v>77</v>
      </c>
      <c r="F330" s="14" t="s">
        <v>16</v>
      </c>
      <c r="G330" s="81" t="s">
        <v>345</v>
      </c>
      <c r="H330" s="107" t="s">
        <v>452</v>
      </c>
      <c r="I330" s="281">
        <v>1110</v>
      </c>
      <c r="J330" s="109">
        <v>1122.46</v>
      </c>
      <c r="K330" s="108">
        <v>1110</v>
      </c>
      <c r="L330" s="109">
        <v>220.82</v>
      </c>
      <c r="M330" s="108">
        <v>1110</v>
      </c>
      <c r="N330" s="109">
        <v>552.45000000000005</v>
      </c>
      <c r="O330" s="422">
        <v>1110</v>
      </c>
      <c r="P330" s="423"/>
      <c r="Q330" s="422">
        <v>1110</v>
      </c>
      <c r="R330" s="109">
        <v>0</v>
      </c>
      <c r="S330" s="113">
        <v>1110</v>
      </c>
      <c r="T330" s="113">
        <v>1110</v>
      </c>
      <c r="U330" s="113">
        <v>-366</v>
      </c>
      <c r="V330" s="113">
        <v>1110</v>
      </c>
      <c r="W330" s="114">
        <v>-974</v>
      </c>
      <c r="X330" s="115">
        <v>1110</v>
      </c>
      <c r="Y330" s="116">
        <v>-742.1</v>
      </c>
      <c r="Z330" s="115">
        <v>1110</v>
      </c>
      <c r="AA330" s="572">
        <v>-897.86</v>
      </c>
      <c r="AB330" s="115">
        <v>1110</v>
      </c>
      <c r="AC330" s="572">
        <v>-897.86</v>
      </c>
      <c r="AD330" s="115">
        <v>1000</v>
      </c>
      <c r="AE330" s="572">
        <v>-959.74</v>
      </c>
      <c r="AF330" s="115">
        <v>1000</v>
      </c>
      <c r="AG330" s="766">
        <v>-296.04000000000002</v>
      </c>
      <c r="AH330" s="855">
        <v>1000</v>
      </c>
      <c r="AI330" s="855">
        <v>1000</v>
      </c>
      <c r="AJ330" s="115">
        <v>1000</v>
      </c>
      <c r="AK330" s="707" t="s">
        <v>277</v>
      </c>
      <c r="AL330" s="805"/>
      <c r="AM330" s="106"/>
      <c r="AN330" s="106"/>
    </row>
    <row r="331" spans="1:40">
      <c r="A331" s="144"/>
      <c r="B331" s="680"/>
      <c r="C331" s="680"/>
      <c r="D331" s="680"/>
      <c r="E331" s="676"/>
      <c r="F331" s="680"/>
      <c r="G331" s="145"/>
      <c r="H331" s="146" t="s">
        <v>346</v>
      </c>
      <c r="I331" s="368">
        <f t="shared" ref="I331:P331" si="120">SUM(I299:I330)</f>
        <v>35650</v>
      </c>
      <c r="J331" s="369">
        <f t="shared" si="120"/>
        <v>21103.480000000003</v>
      </c>
      <c r="K331" s="368">
        <f t="shared" si="120"/>
        <v>35650</v>
      </c>
      <c r="L331" s="369">
        <f t="shared" si="120"/>
        <v>9215.33</v>
      </c>
      <c r="M331" s="368">
        <f t="shared" si="120"/>
        <v>35650</v>
      </c>
      <c r="N331" s="369">
        <f t="shared" si="120"/>
        <v>12722.88</v>
      </c>
      <c r="O331" s="370">
        <f t="shared" si="120"/>
        <v>35650</v>
      </c>
      <c r="P331" s="156">
        <f t="shared" si="120"/>
        <v>0</v>
      </c>
      <c r="Q331" s="370">
        <v>35650</v>
      </c>
      <c r="R331" s="156">
        <f>SUM(R299:R330)</f>
        <v>652.32000000000005</v>
      </c>
      <c r="S331" s="371">
        <f>SUM(S299:S330)</f>
        <v>35650</v>
      </c>
      <c r="T331" s="371">
        <f>SUM(T299:T330)</f>
        <v>35650</v>
      </c>
      <c r="U331" s="371"/>
      <c r="V331" s="371">
        <f>SUM(V299:V330)</f>
        <v>35650</v>
      </c>
      <c r="W331" s="398">
        <f>SUM(W299:W330)</f>
        <v>-6766.95</v>
      </c>
      <c r="X331" s="399">
        <f>SUM(X299:X330)</f>
        <v>35650</v>
      </c>
      <c r="Y331" s="502">
        <v>-8935.11</v>
      </c>
      <c r="Z331" s="399">
        <f>SUM(Z299:Z330)</f>
        <v>35650</v>
      </c>
      <c r="AA331" s="399">
        <f>SUM(AA299:AA330)</f>
        <v>-22668.32</v>
      </c>
      <c r="AB331" s="399">
        <f>SUM(AB299:AB330)</f>
        <v>35650</v>
      </c>
      <c r="AC331" s="401">
        <v>-22668.32</v>
      </c>
      <c r="AD331" s="399">
        <f>SUM(AD299:AD330)</f>
        <v>22450</v>
      </c>
      <c r="AE331" s="399">
        <f t="shared" ref="AE331" si="121">SUM(AE299:AE330)</f>
        <v>-22134.510000000002</v>
      </c>
      <c r="AF331" s="399">
        <f>SUM(AF299:AF330)</f>
        <v>21380</v>
      </c>
      <c r="AG331" s="399">
        <f t="shared" ref="AG331" si="122">SUM(AG299:AG330)</f>
        <v>-11291.45</v>
      </c>
      <c r="AH331" s="399">
        <f>SUM(AH299:AH330)</f>
        <v>21380</v>
      </c>
      <c r="AI331" s="399">
        <f>SUM(AI299:AI330)</f>
        <v>21380</v>
      </c>
      <c r="AJ331" s="399">
        <f>SUM(AJ299:AJ330)</f>
        <v>21380</v>
      </c>
      <c r="AK331" s="702"/>
      <c r="AM331" s="106"/>
      <c r="AN331" s="106"/>
    </row>
    <row r="332" spans="1:40">
      <c r="A332" s="80"/>
      <c r="B332" s="14"/>
      <c r="C332" s="14"/>
      <c r="D332" s="14"/>
      <c r="E332" s="15"/>
      <c r="F332" s="14"/>
      <c r="G332" s="81"/>
      <c r="H332" s="251"/>
      <c r="I332" s="396"/>
      <c r="J332" s="397"/>
      <c r="K332" s="396"/>
      <c r="L332" s="397"/>
      <c r="M332" s="396"/>
      <c r="N332" s="397"/>
      <c r="O332" s="427"/>
      <c r="P332" s="428"/>
      <c r="Q332" s="427"/>
      <c r="R332" s="428"/>
      <c r="S332" s="429"/>
      <c r="T332" s="429"/>
      <c r="U332" s="429"/>
      <c r="V332" s="429"/>
      <c r="W332" s="430"/>
      <c r="X332" s="431"/>
      <c r="Y332" s="286"/>
      <c r="Z332" s="431"/>
      <c r="AA332" s="566"/>
      <c r="AB332" s="431"/>
      <c r="AC332" s="566"/>
      <c r="AD332" s="431"/>
      <c r="AE332" s="566"/>
      <c r="AF332" s="431"/>
      <c r="AG332" s="775"/>
      <c r="AH332" s="431"/>
      <c r="AI332" s="431"/>
      <c r="AJ332" s="431"/>
      <c r="AK332" s="706"/>
      <c r="AM332" s="106"/>
      <c r="AN332" s="106"/>
    </row>
    <row r="333" spans="1:40">
      <c r="A333" s="556">
        <v>5</v>
      </c>
      <c r="B333" s="557" t="s">
        <v>16</v>
      </c>
      <c r="C333" s="557">
        <v>5</v>
      </c>
      <c r="D333" s="557" t="s">
        <v>16</v>
      </c>
      <c r="E333" s="558" t="s">
        <v>118</v>
      </c>
      <c r="F333" s="557" t="s">
        <v>16</v>
      </c>
      <c r="G333" s="559" t="s">
        <v>70</v>
      </c>
      <c r="H333" s="587" t="s">
        <v>347</v>
      </c>
      <c r="I333" s="534"/>
      <c r="J333" s="560"/>
      <c r="K333" s="534"/>
      <c r="L333" s="560"/>
      <c r="M333" s="534"/>
      <c r="N333" s="560"/>
      <c r="O333" s="567"/>
      <c r="P333" s="561"/>
      <c r="Q333" s="567"/>
      <c r="R333" s="561"/>
      <c r="S333" s="568"/>
      <c r="T333" s="568"/>
      <c r="U333" s="568"/>
      <c r="V333" s="568"/>
      <c r="W333" s="562"/>
      <c r="X333" s="569"/>
      <c r="Y333" s="246"/>
      <c r="Z333" s="569"/>
      <c r="AA333" s="570"/>
      <c r="AB333" s="569"/>
      <c r="AC333" s="570"/>
      <c r="AD333" s="569"/>
      <c r="AE333" s="570"/>
      <c r="AF333" s="569"/>
      <c r="AG333" s="776"/>
      <c r="AH333" s="569"/>
      <c r="AI333" s="569"/>
      <c r="AJ333" s="569"/>
      <c r="AK333" s="710"/>
      <c r="AM333" s="106"/>
      <c r="AN333" s="106"/>
    </row>
    <row r="334" spans="1:40">
      <c r="A334" s="80">
        <v>5</v>
      </c>
      <c r="B334" s="14" t="s">
        <v>16</v>
      </c>
      <c r="C334" s="14">
        <v>5</v>
      </c>
      <c r="D334" s="14" t="s">
        <v>16</v>
      </c>
      <c r="E334" s="15" t="s">
        <v>118</v>
      </c>
      <c r="F334" s="14" t="s">
        <v>16</v>
      </c>
      <c r="G334" s="81" t="s">
        <v>81</v>
      </c>
      <c r="H334" s="564" t="s">
        <v>348</v>
      </c>
      <c r="I334" s="463">
        <v>2180</v>
      </c>
      <c r="J334" s="413">
        <v>700.71</v>
      </c>
      <c r="K334" s="412">
        <v>2180</v>
      </c>
      <c r="L334" s="413">
        <v>0</v>
      </c>
      <c r="M334" s="412">
        <v>2180</v>
      </c>
      <c r="N334" s="413">
        <v>0</v>
      </c>
      <c r="O334" s="464">
        <v>2180</v>
      </c>
      <c r="P334" s="551"/>
      <c r="Q334" s="464">
        <v>2180</v>
      </c>
      <c r="R334" s="413">
        <v>0</v>
      </c>
      <c r="S334" s="465">
        <v>2180</v>
      </c>
      <c r="T334" s="465">
        <v>2180</v>
      </c>
      <c r="U334" s="465">
        <v>-184.94</v>
      </c>
      <c r="V334" s="465">
        <v>2180</v>
      </c>
      <c r="W334" s="466">
        <v>-222.84</v>
      </c>
      <c r="X334" s="467">
        <v>2180</v>
      </c>
      <c r="Y334" s="218">
        <v>0</v>
      </c>
      <c r="Z334" s="467">
        <v>2180</v>
      </c>
      <c r="AA334" s="548">
        <v>-1722.95</v>
      </c>
      <c r="AB334" s="467">
        <v>2180</v>
      </c>
      <c r="AC334" s="548">
        <v>-1722.95</v>
      </c>
      <c r="AD334" s="467">
        <v>1500</v>
      </c>
      <c r="AE334" s="548">
        <v>-2208.6</v>
      </c>
      <c r="AF334" s="862">
        <v>1500</v>
      </c>
      <c r="AG334" s="772">
        <v>-1005.56</v>
      </c>
      <c r="AH334" s="467">
        <v>1500</v>
      </c>
      <c r="AI334" s="467">
        <v>1500</v>
      </c>
      <c r="AJ334" s="467">
        <v>1500</v>
      </c>
      <c r="AK334" s="707" t="s">
        <v>428</v>
      </c>
      <c r="AL334" s="805"/>
      <c r="AM334" s="106"/>
      <c r="AN334" s="106"/>
    </row>
    <row r="335" spans="1:40">
      <c r="A335" s="80">
        <v>5</v>
      </c>
      <c r="B335" s="14" t="s">
        <v>16</v>
      </c>
      <c r="C335" s="14">
        <v>5</v>
      </c>
      <c r="D335" s="14" t="s">
        <v>16</v>
      </c>
      <c r="E335" s="15" t="s">
        <v>118</v>
      </c>
      <c r="F335" s="14" t="s">
        <v>16</v>
      </c>
      <c r="G335" s="81" t="s">
        <v>84</v>
      </c>
      <c r="H335" s="590" t="s">
        <v>349</v>
      </c>
      <c r="I335" s="396">
        <v>2090</v>
      </c>
      <c r="J335" s="321">
        <v>836.41</v>
      </c>
      <c r="K335" s="320">
        <v>2090</v>
      </c>
      <c r="L335" s="321">
        <v>0</v>
      </c>
      <c r="M335" s="320">
        <v>2090</v>
      </c>
      <c r="N335" s="321">
        <v>690.09</v>
      </c>
      <c r="O335" s="322">
        <v>2090</v>
      </c>
      <c r="P335" s="323"/>
      <c r="Q335" s="322">
        <v>2090</v>
      </c>
      <c r="R335" s="321">
        <v>0</v>
      </c>
      <c r="S335" s="324">
        <v>2090</v>
      </c>
      <c r="T335" s="324">
        <v>2090</v>
      </c>
      <c r="U335" s="324">
        <v>-12.56</v>
      </c>
      <c r="V335" s="324">
        <v>2090</v>
      </c>
      <c r="W335" s="325">
        <v>-12.56</v>
      </c>
      <c r="X335" s="326">
        <v>2090</v>
      </c>
      <c r="Y335" s="116">
        <v>-1436.16</v>
      </c>
      <c r="Z335" s="326">
        <v>2090</v>
      </c>
      <c r="AA335" s="511">
        <v>-1897.2</v>
      </c>
      <c r="AB335" s="326">
        <v>2090</v>
      </c>
      <c r="AC335" s="511">
        <v>-1897.2</v>
      </c>
      <c r="AD335" s="326">
        <v>850</v>
      </c>
      <c r="AE335" s="511">
        <v>-1085</v>
      </c>
      <c r="AF335" s="861">
        <v>850</v>
      </c>
      <c r="AG335" s="772">
        <v>-328.79</v>
      </c>
      <c r="AH335" s="326">
        <v>850</v>
      </c>
      <c r="AI335" s="326">
        <v>850</v>
      </c>
      <c r="AJ335" s="326">
        <v>850</v>
      </c>
      <c r="AK335" s="707" t="s">
        <v>277</v>
      </c>
      <c r="AL335" s="805"/>
      <c r="AM335" s="106"/>
      <c r="AN335" s="106"/>
    </row>
    <row r="336" spans="1:40">
      <c r="A336" s="80">
        <v>5</v>
      </c>
      <c r="B336" s="14" t="s">
        <v>16</v>
      </c>
      <c r="C336" s="14">
        <v>5</v>
      </c>
      <c r="D336" s="14" t="s">
        <v>16</v>
      </c>
      <c r="E336" s="15" t="s">
        <v>118</v>
      </c>
      <c r="F336" s="14" t="s">
        <v>16</v>
      </c>
      <c r="G336" s="81" t="s">
        <v>86</v>
      </c>
      <c r="H336" s="590" t="s">
        <v>350</v>
      </c>
      <c r="I336" s="396">
        <v>1590</v>
      </c>
      <c r="J336" s="321">
        <v>1428.9</v>
      </c>
      <c r="K336" s="320">
        <v>1590</v>
      </c>
      <c r="L336" s="321">
        <v>991.8</v>
      </c>
      <c r="M336" s="320">
        <v>1590</v>
      </c>
      <c r="N336" s="321">
        <v>1771.27</v>
      </c>
      <c r="O336" s="322">
        <v>1590</v>
      </c>
      <c r="P336" s="323"/>
      <c r="Q336" s="322">
        <v>1590</v>
      </c>
      <c r="R336" s="321">
        <v>196.25</v>
      </c>
      <c r="S336" s="324">
        <v>1590</v>
      </c>
      <c r="T336" s="324">
        <v>1590</v>
      </c>
      <c r="U336" s="324">
        <v>-419.34</v>
      </c>
      <c r="V336" s="324">
        <v>1590</v>
      </c>
      <c r="W336" s="325">
        <v>-598.55999999999995</v>
      </c>
      <c r="X336" s="326">
        <v>1590</v>
      </c>
      <c r="Y336" s="116">
        <v>-165.53</v>
      </c>
      <c r="Z336" s="326">
        <v>1590</v>
      </c>
      <c r="AA336" s="511">
        <v>-1590</v>
      </c>
      <c r="AB336" s="326">
        <v>1590</v>
      </c>
      <c r="AC336" s="511">
        <v>-1590</v>
      </c>
      <c r="AD336" s="326">
        <v>1590</v>
      </c>
      <c r="AE336" s="511">
        <v>-1618.6</v>
      </c>
      <c r="AF336" s="861">
        <v>1580</v>
      </c>
      <c r="AG336" s="772">
        <v>-656.82</v>
      </c>
      <c r="AH336" s="861">
        <v>1580</v>
      </c>
      <c r="AI336" s="861">
        <v>1580</v>
      </c>
      <c r="AJ336" s="861">
        <v>1580</v>
      </c>
      <c r="AK336" s="707" t="s">
        <v>445</v>
      </c>
      <c r="AL336" s="805"/>
      <c r="AM336" s="106"/>
      <c r="AN336" s="106"/>
    </row>
    <row r="337" spans="1:40">
      <c r="A337" s="80">
        <v>5</v>
      </c>
      <c r="B337" s="14" t="s">
        <v>16</v>
      </c>
      <c r="C337" s="14">
        <v>5</v>
      </c>
      <c r="D337" s="14" t="s">
        <v>16</v>
      </c>
      <c r="E337" s="15" t="s">
        <v>118</v>
      </c>
      <c r="F337" s="14" t="s">
        <v>16</v>
      </c>
      <c r="G337" s="81" t="s">
        <v>73</v>
      </c>
      <c r="H337" s="590" t="s">
        <v>351</v>
      </c>
      <c r="I337" s="396">
        <v>870</v>
      </c>
      <c r="J337" s="321">
        <v>552.38</v>
      </c>
      <c r="K337" s="320">
        <v>870</v>
      </c>
      <c r="L337" s="321">
        <v>430.08</v>
      </c>
      <c r="M337" s="320">
        <v>870</v>
      </c>
      <c r="N337" s="321">
        <v>430.08</v>
      </c>
      <c r="O337" s="322">
        <v>870</v>
      </c>
      <c r="P337" s="323"/>
      <c r="Q337" s="322">
        <v>870</v>
      </c>
      <c r="R337" s="321">
        <v>0</v>
      </c>
      <c r="S337" s="324">
        <v>870</v>
      </c>
      <c r="T337" s="324">
        <v>870</v>
      </c>
      <c r="U337" s="324">
        <v>-370.3</v>
      </c>
      <c r="V337" s="324">
        <v>870</v>
      </c>
      <c r="W337" s="325">
        <v>-440.3</v>
      </c>
      <c r="X337" s="326">
        <v>870</v>
      </c>
      <c r="Y337" s="116">
        <v>-196.71</v>
      </c>
      <c r="Z337" s="326">
        <v>870</v>
      </c>
      <c r="AA337" s="511">
        <v>-663.32</v>
      </c>
      <c r="AB337" s="326">
        <v>870</v>
      </c>
      <c r="AC337" s="511">
        <v>-663.32</v>
      </c>
      <c r="AD337" s="326">
        <v>600</v>
      </c>
      <c r="AE337" s="511">
        <v>-814.55</v>
      </c>
      <c r="AF337" s="861">
        <v>570</v>
      </c>
      <c r="AG337" s="772">
        <v>-474.94</v>
      </c>
      <c r="AH337" s="861">
        <v>570</v>
      </c>
      <c r="AI337" s="861">
        <v>570</v>
      </c>
      <c r="AJ337" s="861">
        <v>570</v>
      </c>
      <c r="AK337" s="707" t="s">
        <v>445</v>
      </c>
      <c r="AL337" s="805"/>
      <c r="AM337" s="106"/>
      <c r="AN337" s="106"/>
    </row>
    <row r="338" spans="1:40">
      <c r="A338" s="80">
        <v>5</v>
      </c>
      <c r="B338" s="14" t="s">
        <v>16</v>
      </c>
      <c r="C338" s="14">
        <v>5</v>
      </c>
      <c r="D338" s="14" t="s">
        <v>16</v>
      </c>
      <c r="E338" s="15" t="s">
        <v>118</v>
      </c>
      <c r="F338" s="14" t="s">
        <v>16</v>
      </c>
      <c r="G338" s="81" t="s">
        <v>77</v>
      </c>
      <c r="H338" s="590" t="s">
        <v>352</v>
      </c>
      <c r="I338" s="396">
        <v>1260</v>
      </c>
      <c r="J338" s="321">
        <v>1309.18</v>
      </c>
      <c r="K338" s="320">
        <v>1260</v>
      </c>
      <c r="L338" s="321">
        <v>265.45999999999998</v>
      </c>
      <c r="M338" s="320">
        <v>1260</v>
      </c>
      <c r="N338" s="321">
        <v>132.30000000000001</v>
      </c>
      <c r="O338" s="322">
        <v>1260</v>
      </c>
      <c r="P338" s="323"/>
      <c r="Q338" s="322">
        <v>1260</v>
      </c>
      <c r="R338" s="321">
        <v>0</v>
      </c>
      <c r="S338" s="324">
        <v>1260</v>
      </c>
      <c r="T338" s="324">
        <v>1260</v>
      </c>
      <c r="U338" s="324">
        <v>-606.16999999999996</v>
      </c>
      <c r="V338" s="324">
        <v>1260</v>
      </c>
      <c r="W338" s="325">
        <v>-1110.99</v>
      </c>
      <c r="X338" s="326">
        <v>1260</v>
      </c>
      <c r="Y338" s="116">
        <v>-608.91</v>
      </c>
      <c r="Z338" s="326">
        <v>1260</v>
      </c>
      <c r="AA338" s="511">
        <v>-722.14</v>
      </c>
      <c r="AB338" s="326">
        <v>1260</v>
      </c>
      <c r="AC338" s="511">
        <v>-722.14</v>
      </c>
      <c r="AD338" s="326">
        <v>1200</v>
      </c>
      <c r="AE338" s="511">
        <v>-1301.47</v>
      </c>
      <c r="AF338" s="861">
        <v>1100</v>
      </c>
      <c r="AG338" s="772">
        <v>-926.55</v>
      </c>
      <c r="AH338" s="861">
        <v>1100</v>
      </c>
      <c r="AI338" s="861">
        <v>1100</v>
      </c>
      <c r="AJ338" s="861">
        <v>1100</v>
      </c>
      <c r="AK338" s="707" t="s">
        <v>277</v>
      </c>
      <c r="AL338" s="805"/>
      <c r="AM338" s="106"/>
      <c r="AN338" s="106"/>
    </row>
    <row r="339" spans="1:40">
      <c r="A339" s="80">
        <v>5</v>
      </c>
      <c r="B339" s="14" t="s">
        <v>16</v>
      </c>
      <c r="C339" s="14">
        <v>5</v>
      </c>
      <c r="D339" s="14" t="s">
        <v>16</v>
      </c>
      <c r="E339" s="15" t="s">
        <v>118</v>
      </c>
      <c r="F339" s="14" t="s">
        <v>16</v>
      </c>
      <c r="G339" s="81" t="s">
        <v>118</v>
      </c>
      <c r="H339" s="590" t="s">
        <v>450</v>
      </c>
      <c r="I339" s="396">
        <v>1180</v>
      </c>
      <c r="J339" s="321">
        <v>1112.92</v>
      </c>
      <c r="K339" s="320">
        <v>1180</v>
      </c>
      <c r="L339" s="321">
        <v>0</v>
      </c>
      <c r="M339" s="320">
        <v>1180</v>
      </c>
      <c r="N339" s="321">
        <v>436.25</v>
      </c>
      <c r="O339" s="322">
        <v>1180</v>
      </c>
      <c r="P339" s="323"/>
      <c r="Q339" s="322">
        <v>1180</v>
      </c>
      <c r="R339" s="321">
        <v>0</v>
      </c>
      <c r="S339" s="324">
        <v>1180</v>
      </c>
      <c r="T339" s="324">
        <v>1180</v>
      </c>
      <c r="U339" s="324">
        <v>-128.53</v>
      </c>
      <c r="V339" s="324">
        <v>1180</v>
      </c>
      <c r="W339" s="325">
        <v>-742.82</v>
      </c>
      <c r="X339" s="326">
        <v>1180</v>
      </c>
      <c r="Y339" s="116">
        <v>0</v>
      </c>
      <c r="Z339" s="326">
        <v>1180</v>
      </c>
      <c r="AA339" s="511">
        <v>-1120.01</v>
      </c>
      <c r="AB339" s="326">
        <v>1180</v>
      </c>
      <c r="AC339" s="511">
        <v>-1120.01</v>
      </c>
      <c r="AD339" s="326">
        <v>850</v>
      </c>
      <c r="AE339" s="511">
        <v>-645.30999999999995</v>
      </c>
      <c r="AF339" s="861">
        <v>730</v>
      </c>
      <c r="AG339" s="772"/>
      <c r="AH339" s="861">
        <v>730</v>
      </c>
      <c r="AI339" s="861">
        <v>730</v>
      </c>
      <c r="AJ339" s="861">
        <v>730</v>
      </c>
      <c r="AK339" s="707" t="s">
        <v>445</v>
      </c>
      <c r="AL339" s="805"/>
      <c r="AM339" s="106"/>
      <c r="AN339" s="106"/>
    </row>
    <row r="340" spans="1:40">
      <c r="A340" s="80">
        <v>5</v>
      </c>
      <c r="B340" s="14" t="s">
        <v>16</v>
      </c>
      <c r="C340" s="14">
        <v>5</v>
      </c>
      <c r="D340" s="14" t="s">
        <v>16</v>
      </c>
      <c r="E340" s="15" t="s">
        <v>118</v>
      </c>
      <c r="F340" s="14" t="s">
        <v>16</v>
      </c>
      <c r="G340" s="81" t="s">
        <v>75</v>
      </c>
      <c r="H340" s="590" t="s">
        <v>353</v>
      </c>
      <c r="I340" s="396">
        <v>2220</v>
      </c>
      <c r="J340" s="321">
        <v>1996.67</v>
      </c>
      <c r="K340" s="320">
        <v>2220</v>
      </c>
      <c r="L340" s="321">
        <v>438.26</v>
      </c>
      <c r="M340" s="320">
        <v>2220</v>
      </c>
      <c r="N340" s="321">
        <v>845.79</v>
      </c>
      <c r="O340" s="322">
        <v>2220</v>
      </c>
      <c r="P340" s="323"/>
      <c r="Q340" s="322">
        <v>2220</v>
      </c>
      <c r="R340" s="321">
        <v>162.18</v>
      </c>
      <c r="S340" s="324">
        <v>2220</v>
      </c>
      <c r="T340" s="324">
        <v>2220</v>
      </c>
      <c r="U340" s="324">
        <v>-389.5</v>
      </c>
      <c r="V340" s="324">
        <v>2220</v>
      </c>
      <c r="W340" s="325">
        <v>-636.91999999999996</v>
      </c>
      <c r="X340" s="326">
        <v>2220</v>
      </c>
      <c r="Y340" s="116">
        <v>-1804.29</v>
      </c>
      <c r="Z340" s="326">
        <v>2220</v>
      </c>
      <c r="AA340" s="511">
        <v>-2114.7800000000002</v>
      </c>
      <c r="AB340" s="326">
        <v>2220</v>
      </c>
      <c r="AC340" s="511">
        <v>-2114.7800000000002</v>
      </c>
      <c r="AD340" s="326">
        <v>2050</v>
      </c>
      <c r="AE340" s="511">
        <v>-2209.39</v>
      </c>
      <c r="AF340" s="861">
        <v>2100</v>
      </c>
      <c r="AG340" s="772">
        <v>-2435.9699999999998</v>
      </c>
      <c r="AH340" s="861">
        <v>2100</v>
      </c>
      <c r="AI340" s="861">
        <v>2100</v>
      </c>
      <c r="AJ340" s="861">
        <v>2100</v>
      </c>
      <c r="AK340" s="707" t="s">
        <v>277</v>
      </c>
      <c r="AL340" s="805"/>
      <c r="AM340" s="106"/>
      <c r="AN340" s="106"/>
    </row>
    <row r="341" spans="1:40">
      <c r="A341" s="80">
        <v>5</v>
      </c>
      <c r="B341" s="14" t="s">
        <v>16</v>
      </c>
      <c r="C341" s="14">
        <v>5</v>
      </c>
      <c r="D341" s="14" t="s">
        <v>16</v>
      </c>
      <c r="E341" s="15" t="s">
        <v>118</v>
      </c>
      <c r="F341" s="14" t="s">
        <v>16</v>
      </c>
      <c r="G341" s="81" t="s">
        <v>132</v>
      </c>
      <c r="H341" s="590" t="s">
        <v>354</v>
      </c>
      <c r="I341" s="396">
        <v>800</v>
      </c>
      <c r="J341" s="321">
        <v>609.41</v>
      </c>
      <c r="K341" s="320">
        <v>800</v>
      </c>
      <c r="L341" s="321">
        <v>604.97</v>
      </c>
      <c r="M341" s="320">
        <v>800</v>
      </c>
      <c r="N341" s="321">
        <v>912.52</v>
      </c>
      <c r="O341" s="322">
        <v>800</v>
      </c>
      <c r="P341" s="323"/>
      <c r="Q341" s="322">
        <v>800</v>
      </c>
      <c r="R341" s="321">
        <v>35</v>
      </c>
      <c r="S341" s="324">
        <v>800</v>
      </c>
      <c r="T341" s="324">
        <v>800</v>
      </c>
      <c r="U341" s="324">
        <v>-92.76</v>
      </c>
      <c r="V341" s="324">
        <v>800</v>
      </c>
      <c r="W341" s="325">
        <v>-171.48</v>
      </c>
      <c r="X341" s="326">
        <v>800</v>
      </c>
      <c r="Y341" s="116">
        <v>-272.58</v>
      </c>
      <c r="Z341" s="326">
        <v>800</v>
      </c>
      <c r="AA341" s="511">
        <v>-579.11</v>
      </c>
      <c r="AB341" s="326">
        <v>800</v>
      </c>
      <c r="AC341" s="511">
        <v>-579.11</v>
      </c>
      <c r="AD341" s="326">
        <v>650</v>
      </c>
      <c r="AE341" s="511">
        <v>-489.1</v>
      </c>
      <c r="AF341" s="861">
        <v>440</v>
      </c>
      <c r="AG341" s="772">
        <v>-259.47000000000003</v>
      </c>
      <c r="AH341" s="861">
        <v>440</v>
      </c>
      <c r="AI341" s="861">
        <v>440</v>
      </c>
      <c r="AJ341" s="861">
        <v>440</v>
      </c>
      <c r="AK341" s="707" t="s">
        <v>445</v>
      </c>
      <c r="AL341" s="805"/>
      <c r="AM341" s="106"/>
      <c r="AN341" s="106"/>
    </row>
    <row r="342" spans="1:40">
      <c r="A342" s="80">
        <v>5</v>
      </c>
      <c r="B342" s="14" t="s">
        <v>16</v>
      </c>
      <c r="C342" s="14">
        <v>5</v>
      </c>
      <c r="D342" s="14" t="s">
        <v>16</v>
      </c>
      <c r="E342" s="15" t="s">
        <v>118</v>
      </c>
      <c r="F342" s="14" t="s">
        <v>16</v>
      </c>
      <c r="G342" s="81" t="s">
        <v>136</v>
      </c>
      <c r="H342" s="590" t="s">
        <v>355</v>
      </c>
      <c r="I342" s="396">
        <v>1880</v>
      </c>
      <c r="J342" s="321">
        <v>2523.5700000000002</v>
      </c>
      <c r="K342" s="320">
        <v>1880</v>
      </c>
      <c r="L342" s="321">
        <v>1166.53</v>
      </c>
      <c r="M342" s="320">
        <v>1880</v>
      </c>
      <c r="N342" s="321">
        <v>1974.07</v>
      </c>
      <c r="O342" s="322">
        <v>1880</v>
      </c>
      <c r="P342" s="323"/>
      <c r="Q342" s="322">
        <v>1880</v>
      </c>
      <c r="R342" s="321">
        <v>0</v>
      </c>
      <c r="S342" s="324">
        <v>1880</v>
      </c>
      <c r="T342" s="324">
        <v>1880</v>
      </c>
      <c r="U342" s="324">
        <v>-376.34</v>
      </c>
      <c r="V342" s="324">
        <v>1880</v>
      </c>
      <c r="W342" s="325">
        <v>-376.34</v>
      </c>
      <c r="X342" s="326">
        <v>1880</v>
      </c>
      <c r="Y342" s="116">
        <v>-410.87</v>
      </c>
      <c r="Z342" s="326">
        <v>1880</v>
      </c>
      <c r="AA342" s="511">
        <v>-1879.74</v>
      </c>
      <c r="AB342" s="326">
        <v>1880</v>
      </c>
      <c r="AC342" s="511">
        <v>-1879.74</v>
      </c>
      <c r="AD342" s="326">
        <v>1880</v>
      </c>
      <c r="AE342" s="511">
        <v>-1879.92</v>
      </c>
      <c r="AF342" s="861">
        <v>1900</v>
      </c>
      <c r="AG342" s="772">
        <v>-342.48</v>
      </c>
      <c r="AH342" s="861">
        <v>1900</v>
      </c>
      <c r="AI342" s="861">
        <v>1900</v>
      </c>
      <c r="AJ342" s="861">
        <v>1900</v>
      </c>
      <c r="AK342" s="707" t="s">
        <v>277</v>
      </c>
      <c r="AL342" s="805"/>
      <c r="AM342" s="106"/>
      <c r="AN342" s="106"/>
    </row>
    <row r="343" spans="1:40">
      <c r="A343" s="80">
        <v>5</v>
      </c>
      <c r="B343" s="14" t="s">
        <v>16</v>
      </c>
      <c r="C343" s="14">
        <v>5</v>
      </c>
      <c r="D343" s="14" t="s">
        <v>16</v>
      </c>
      <c r="E343" s="15" t="s">
        <v>118</v>
      </c>
      <c r="F343" s="14" t="s">
        <v>16</v>
      </c>
      <c r="G343" s="81" t="s">
        <v>139</v>
      </c>
      <c r="H343" s="590" t="s">
        <v>356</v>
      </c>
      <c r="I343" s="396">
        <v>1010</v>
      </c>
      <c r="J343" s="321">
        <v>764.93</v>
      </c>
      <c r="K343" s="320">
        <v>1010</v>
      </c>
      <c r="L343" s="321">
        <v>303.99</v>
      </c>
      <c r="M343" s="320">
        <v>1010</v>
      </c>
      <c r="N343" s="321">
        <v>303.99</v>
      </c>
      <c r="O343" s="322">
        <v>1010</v>
      </c>
      <c r="P343" s="323"/>
      <c r="Q343" s="322">
        <v>1010</v>
      </c>
      <c r="R343" s="321">
        <v>0</v>
      </c>
      <c r="S343" s="324">
        <v>1010</v>
      </c>
      <c r="T343" s="324">
        <v>1010</v>
      </c>
      <c r="U343" s="324">
        <v>0</v>
      </c>
      <c r="V343" s="324">
        <v>1010</v>
      </c>
      <c r="W343" s="325">
        <v>0</v>
      </c>
      <c r="X343" s="326">
        <v>1010</v>
      </c>
      <c r="Y343" s="116">
        <v>-586.4</v>
      </c>
      <c r="Z343" s="326">
        <v>1010</v>
      </c>
      <c r="AA343" s="511">
        <v>-1321.55</v>
      </c>
      <c r="AB343" s="326">
        <v>1010</v>
      </c>
      <c r="AC343" s="511">
        <v>-1321.55</v>
      </c>
      <c r="AD343" s="326">
        <v>1010</v>
      </c>
      <c r="AE343" s="511">
        <v>-774.35</v>
      </c>
      <c r="AF343" s="861">
        <v>720</v>
      </c>
      <c r="AG343" s="772">
        <v>-870.56</v>
      </c>
      <c r="AH343" s="861">
        <v>720</v>
      </c>
      <c r="AI343" s="861">
        <v>720</v>
      </c>
      <c r="AJ343" s="861">
        <v>720</v>
      </c>
      <c r="AK343" s="707" t="s">
        <v>445</v>
      </c>
      <c r="AL343" s="805"/>
      <c r="AM343" s="106"/>
      <c r="AN343" s="106"/>
    </row>
    <row r="344" spans="1:40">
      <c r="A344" s="80">
        <v>5</v>
      </c>
      <c r="B344" s="14" t="s">
        <v>16</v>
      </c>
      <c r="C344" s="14">
        <v>5</v>
      </c>
      <c r="D344" s="14" t="s">
        <v>16</v>
      </c>
      <c r="E344" s="15" t="s">
        <v>118</v>
      </c>
      <c r="F344" s="14" t="s">
        <v>16</v>
      </c>
      <c r="G344" s="81" t="s">
        <v>142</v>
      </c>
      <c r="H344" s="590" t="s">
        <v>357</v>
      </c>
      <c r="I344" s="396">
        <v>1120</v>
      </c>
      <c r="J344" s="321">
        <v>791.9</v>
      </c>
      <c r="K344" s="320">
        <v>1120</v>
      </c>
      <c r="L344" s="321">
        <v>933.28</v>
      </c>
      <c r="M344" s="320">
        <v>1120</v>
      </c>
      <c r="N344" s="321">
        <v>1031.18</v>
      </c>
      <c r="O344" s="322">
        <v>1120</v>
      </c>
      <c r="P344" s="323"/>
      <c r="Q344" s="322">
        <v>1120</v>
      </c>
      <c r="R344" s="321">
        <v>267.37</v>
      </c>
      <c r="S344" s="324">
        <v>1120</v>
      </c>
      <c r="T344" s="324">
        <v>1120</v>
      </c>
      <c r="U344" s="324">
        <v>-601.32000000000005</v>
      </c>
      <c r="V344" s="324">
        <v>1120</v>
      </c>
      <c r="W344" s="325">
        <v>-1017.28</v>
      </c>
      <c r="X344" s="326">
        <v>1120</v>
      </c>
      <c r="Y344" s="116">
        <v>-1120</v>
      </c>
      <c r="Z344" s="326">
        <v>1120</v>
      </c>
      <c r="AA344" s="511">
        <v>-1120</v>
      </c>
      <c r="AB344" s="326">
        <v>1120</v>
      </c>
      <c r="AC344" s="511">
        <v>-1120</v>
      </c>
      <c r="AD344" s="326">
        <v>900</v>
      </c>
      <c r="AE344" s="511">
        <v>-1120</v>
      </c>
      <c r="AF344" s="861">
        <v>1050</v>
      </c>
      <c r="AG344" s="772">
        <v>-1393.46</v>
      </c>
      <c r="AH344" s="861">
        <v>1050</v>
      </c>
      <c r="AI344" s="861">
        <v>1050</v>
      </c>
      <c r="AJ344" s="861">
        <v>1050</v>
      </c>
      <c r="AK344" s="707" t="s">
        <v>429</v>
      </c>
      <c r="AL344" s="805"/>
      <c r="AM344" s="106"/>
      <c r="AN344" s="106"/>
    </row>
    <row r="345" spans="1:40">
      <c r="A345" s="80">
        <v>5</v>
      </c>
      <c r="B345" s="14" t="s">
        <v>16</v>
      </c>
      <c r="C345" s="14">
        <v>5</v>
      </c>
      <c r="D345" s="14" t="s">
        <v>16</v>
      </c>
      <c r="E345" s="15" t="s">
        <v>118</v>
      </c>
      <c r="F345" s="14" t="s">
        <v>16</v>
      </c>
      <c r="G345" s="81" t="s">
        <v>145</v>
      </c>
      <c r="H345" s="590" t="s">
        <v>358</v>
      </c>
      <c r="I345" s="396">
        <v>1200</v>
      </c>
      <c r="J345" s="321">
        <v>846.77</v>
      </c>
      <c r="K345" s="320">
        <v>1200</v>
      </c>
      <c r="L345" s="321">
        <v>247.83</v>
      </c>
      <c r="M345" s="320">
        <v>1200</v>
      </c>
      <c r="N345" s="321">
        <v>782.33</v>
      </c>
      <c r="O345" s="322">
        <v>1200</v>
      </c>
      <c r="P345" s="323"/>
      <c r="Q345" s="322">
        <v>1200</v>
      </c>
      <c r="R345" s="321">
        <v>0</v>
      </c>
      <c r="S345" s="324">
        <v>1200</v>
      </c>
      <c r="T345" s="324">
        <v>1200</v>
      </c>
      <c r="U345" s="324">
        <v>0</v>
      </c>
      <c r="V345" s="324">
        <v>1200</v>
      </c>
      <c r="W345" s="325">
        <v>-122.34</v>
      </c>
      <c r="X345" s="326">
        <v>1200</v>
      </c>
      <c r="Y345" s="116">
        <v>0</v>
      </c>
      <c r="Z345" s="326">
        <v>1200</v>
      </c>
      <c r="AA345" s="511">
        <v>-1171.9100000000001</v>
      </c>
      <c r="AB345" s="326">
        <v>1200</v>
      </c>
      <c r="AC345" s="511">
        <v>-1171.9100000000001</v>
      </c>
      <c r="AD345" s="326">
        <v>750</v>
      </c>
      <c r="AE345" s="511">
        <v>-1224.28</v>
      </c>
      <c r="AF345" s="861">
        <v>900</v>
      </c>
      <c r="AG345" s="772">
        <v>-682.94</v>
      </c>
      <c r="AH345" s="861">
        <v>900</v>
      </c>
      <c r="AI345" s="861">
        <v>900</v>
      </c>
      <c r="AJ345" s="861">
        <v>900</v>
      </c>
      <c r="AK345" s="707" t="s">
        <v>277</v>
      </c>
      <c r="AL345" s="805"/>
      <c r="AM345" s="106"/>
      <c r="AN345" s="106"/>
    </row>
    <row r="346" spans="1:40">
      <c r="A346" s="80">
        <v>5</v>
      </c>
      <c r="B346" s="14" t="s">
        <v>16</v>
      </c>
      <c r="C346" s="14">
        <v>5</v>
      </c>
      <c r="D346" s="14" t="s">
        <v>16</v>
      </c>
      <c r="E346" s="15" t="s">
        <v>118</v>
      </c>
      <c r="F346" s="14" t="s">
        <v>16</v>
      </c>
      <c r="G346" s="81" t="s">
        <v>148</v>
      </c>
      <c r="H346" s="590" t="s">
        <v>359</v>
      </c>
      <c r="I346" s="396">
        <v>820</v>
      </c>
      <c r="J346" s="321">
        <v>436.35</v>
      </c>
      <c r="K346" s="320">
        <v>820</v>
      </c>
      <c r="L346" s="321">
        <v>24.85</v>
      </c>
      <c r="M346" s="320">
        <v>820</v>
      </c>
      <c r="N346" s="321">
        <v>24.85</v>
      </c>
      <c r="O346" s="322">
        <v>820</v>
      </c>
      <c r="P346" s="323"/>
      <c r="Q346" s="322">
        <v>820</v>
      </c>
      <c r="R346" s="321">
        <v>0</v>
      </c>
      <c r="S346" s="324">
        <v>820</v>
      </c>
      <c r="T346" s="324">
        <v>820</v>
      </c>
      <c r="U346" s="324">
        <v>0</v>
      </c>
      <c r="V346" s="324">
        <v>820</v>
      </c>
      <c r="W346" s="325">
        <v>0</v>
      </c>
      <c r="X346" s="326">
        <v>820</v>
      </c>
      <c r="Y346" s="116">
        <v>-172.31</v>
      </c>
      <c r="Z346" s="326">
        <v>820</v>
      </c>
      <c r="AA346" s="511">
        <v>-469.65</v>
      </c>
      <c r="AB346" s="326">
        <v>820</v>
      </c>
      <c r="AC346" s="511">
        <v>-469.65</v>
      </c>
      <c r="AD346" s="326">
        <v>500</v>
      </c>
      <c r="AE346" s="511">
        <v>-535.89</v>
      </c>
      <c r="AF346" s="861">
        <v>350</v>
      </c>
      <c r="AG346" s="772">
        <v>-275.86</v>
      </c>
      <c r="AH346" s="861">
        <v>350</v>
      </c>
      <c r="AI346" s="861">
        <v>350</v>
      </c>
      <c r="AJ346" s="861">
        <v>350</v>
      </c>
      <c r="AK346" s="707" t="s">
        <v>277</v>
      </c>
      <c r="AL346" s="805"/>
      <c r="AM346" s="106"/>
      <c r="AN346" s="106"/>
    </row>
    <row r="347" spans="1:40">
      <c r="A347" s="80">
        <v>5</v>
      </c>
      <c r="B347" s="14" t="s">
        <v>16</v>
      </c>
      <c r="C347" s="14">
        <v>5</v>
      </c>
      <c r="D347" s="14" t="s">
        <v>16</v>
      </c>
      <c r="E347" s="15" t="s">
        <v>118</v>
      </c>
      <c r="F347" s="14" t="s">
        <v>16</v>
      </c>
      <c r="G347" s="81" t="s">
        <v>194</v>
      </c>
      <c r="H347" s="590" t="s">
        <v>360</v>
      </c>
      <c r="I347" s="396">
        <v>1310</v>
      </c>
      <c r="J347" s="321">
        <v>319.3</v>
      </c>
      <c r="K347" s="320">
        <v>1310</v>
      </c>
      <c r="L347" s="321">
        <v>279.20999999999998</v>
      </c>
      <c r="M347" s="320">
        <v>1310</v>
      </c>
      <c r="N347" s="321">
        <v>279.20999999999998</v>
      </c>
      <c r="O347" s="322">
        <v>1310</v>
      </c>
      <c r="P347" s="323"/>
      <c r="Q347" s="322">
        <v>1310</v>
      </c>
      <c r="R347" s="321">
        <v>0</v>
      </c>
      <c r="S347" s="324">
        <v>1310</v>
      </c>
      <c r="T347" s="324">
        <v>1310</v>
      </c>
      <c r="U347" s="324">
        <v>-880.05</v>
      </c>
      <c r="V347" s="324">
        <v>1310</v>
      </c>
      <c r="W347" s="325">
        <v>-1218.43</v>
      </c>
      <c r="X347" s="326">
        <v>1310</v>
      </c>
      <c r="Y347" s="116">
        <v>-880.08</v>
      </c>
      <c r="Z347" s="326">
        <v>1310</v>
      </c>
      <c r="AA347" s="511">
        <v>-1310</v>
      </c>
      <c r="AB347" s="326">
        <v>1310</v>
      </c>
      <c r="AC347" s="511">
        <v>-1310</v>
      </c>
      <c r="AD347" s="326">
        <v>750</v>
      </c>
      <c r="AE347" s="511">
        <v>-719.76</v>
      </c>
      <c r="AF347" s="861">
        <v>1000</v>
      </c>
      <c r="AG347" s="772">
        <v>-431.06</v>
      </c>
      <c r="AH347" s="861">
        <v>1000</v>
      </c>
      <c r="AI347" s="861">
        <v>1000</v>
      </c>
      <c r="AJ347" s="861">
        <v>1000</v>
      </c>
      <c r="AK347" s="707" t="s">
        <v>277</v>
      </c>
      <c r="AL347" s="805"/>
      <c r="AM347" s="106"/>
      <c r="AN347" s="106"/>
    </row>
    <row r="348" spans="1:40">
      <c r="A348" s="80">
        <v>5</v>
      </c>
      <c r="B348" s="14" t="s">
        <v>16</v>
      </c>
      <c r="C348" s="14">
        <v>5</v>
      </c>
      <c r="D348" s="14" t="s">
        <v>16</v>
      </c>
      <c r="E348" s="15" t="s">
        <v>118</v>
      </c>
      <c r="F348" s="14" t="s">
        <v>16</v>
      </c>
      <c r="G348" s="81" t="s">
        <v>195</v>
      </c>
      <c r="H348" s="590" t="s">
        <v>361</v>
      </c>
      <c r="I348" s="396">
        <v>2090</v>
      </c>
      <c r="J348" s="321">
        <v>1478.3</v>
      </c>
      <c r="K348" s="320">
        <v>2090</v>
      </c>
      <c r="L348" s="321">
        <v>1092.8499999999999</v>
      </c>
      <c r="M348" s="320">
        <v>2090</v>
      </c>
      <c r="N348" s="321">
        <v>2090</v>
      </c>
      <c r="O348" s="322">
        <v>2090</v>
      </c>
      <c r="P348" s="323"/>
      <c r="Q348" s="322">
        <v>2090</v>
      </c>
      <c r="R348" s="321">
        <v>195.95</v>
      </c>
      <c r="S348" s="324">
        <v>2090</v>
      </c>
      <c r="T348" s="324">
        <v>2090</v>
      </c>
      <c r="U348" s="324">
        <v>-517.71</v>
      </c>
      <c r="V348" s="324">
        <v>2090</v>
      </c>
      <c r="W348" s="325">
        <v>-643.01</v>
      </c>
      <c r="X348" s="326">
        <v>2090</v>
      </c>
      <c r="Y348" s="116">
        <v>-1333.81</v>
      </c>
      <c r="Z348" s="326">
        <v>2090</v>
      </c>
      <c r="AA348" s="511">
        <v>-2032.77</v>
      </c>
      <c r="AB348" s="326">
        <v>2090</v>
      </c>
      <c r="AC348" s="511">
        <v>-2032.77</v>
      </c>
      <c r="AD348" s="326">
        <v>2000</v>
      </c>
      <c r="AE348" s="511">
        <v>-2112.17</v>
      </c>
      <c r="AF348" s="861">
        <v>1900</v>
      </c>
      <c r="AG348" s="772">
        <v>-2201.88</v>
      </c>
      <c r="AH348" s="861">
        <v>1900</v>
      </c>
      <c r="AI348" s="861">
        <v>1900</v>
      </c>
      <c r="AJ348" s="861">
        <v>1900</v>
      </c>
      <c r="AK348" s="707" t="s">
        <v>277</v>
      </c>
      <c r="AL348" s="805"/>
      <c r="AM348" s="106"/>
      <c r="AN348" s="106"/>
    </row>
    <row r="349" spans="1:40">
      <c r="A349" s="80">
        <v>5</v>
      </c>
      <c r="B349" s="14" t="s">
        <v>16</v>
      </c>
      <c r="C349" s="14">
        <v>5</v>
      </c>
      <c r="D349" s="14" t="s">
        <v>16</v>
      </c>
      <c r="E349" s="15" t="s">
        <v>118</v>
      </c>
      <c r="F349" s="14" t="s">
        <v>16</v>
      </c>
      <c r="G349" s="81" t="s">
        <v>198</v>
      </c>
      <c r="H349" s="589" t="s">
        <v>362</v>
      </c>
      <c r="I349" s="396">
        <v>1560</v>
      </c>
      <c r="J349" s="321">
        <v>300.19</v>
      </c>
      <c r="K349" s="320">
        <v>1560</v>
      </c>
      <c r="L349" s="321">
        <v>434.82</v>
      </c>
      <c r="M349" s="320">
        <v>1560</v>
      </c>
      <c r="N349" s="321">
        <v>434.82</v>
      </c>
      <c r="O349" s="322">
        <v>1560</v>
      </c>
      <c r="P349" s="323"/>
      <c r="Q349" s="322">
        <v>1560</v>
      </c>
      <c r="R349" s="321">
        <v>0</v>
      </c>
      <c r="S349" s="324">
        <v>1560</v>
      </c>
      <c r="T349" s="324">
        <v>1560</v>
      </c>
      <c r="U349" s="324">
        <v>-214.06</v>
      </c>
      <c r="V349" s="324">
        <v>1560</v>
      </c>
      <c r="W349" s="325">
        <v>-214.06</v>
      </c>
      <c r="X349" s="326">
        <v>1560</v>
      </c>
      <c r="Y349" s="116">
        <v>-100</v>
      </c>
      <c r="Z349" s="326">
        <v>1560</v>
      </c>
      <c r="AA349" s="511">
        <v>-1410.3</v>
      </c>
      <c r="AB349" s="326">
        <v>1560</v>
      </c>
      <c r="AC349" s="511">
        <v>-1410.3</v>
      </c>
      <c r="AD349" s="326">
        <v>550</v>
      </c>
      <c r="AE349" s="511">
        <v>-957.54</v>
      </c>
      <c r="AF349" s="861">
        <v>750</v>
      </c>
      <c r="AG349" s="772">
        <v>-678.77</v>
      </c>
      <c r="AH349" s="861">
        <v>750</v>
      </c>
      <c r="AI349" s="861">
        <v>750</v>
      </c>
      <c r="AJ349" s="861">
        <v>750</v>
      </c>
      <c r="AK349" s="707" t="s">
        <v>277</v>
      </c>
      <c r="AL349" s="805"/>
      <c r="AM349" s="106"/>
      <c r="AN349" s="106"/>
    </row>
    <row r="350" spans="1:40">
      <c r="A350" s="144"/>
      <c r="B350" s="680"/>
      <c r="C350" s="680"/>
      <c r="D350" s="680"/>
      <c r="E350" s="676"/>
      <c r="F350" s="680"/>
      <c r="G350" s="145"/>
      <c r="H350" s="146" t="s">
        <v>363</v>
      </c>
      <c r="I350" s="591">
        <f t="shared" ref="I350:P350" si="123">SUM(I334:I349)</f>
        <v>23180</v>
      </c>
      <c r="J350" s="592">
        <f t="shared" si="123"/>
        <v>16007.89</v>
      </c>
      <c r="K350" s="591">
        <f t="shared" si="123"/>
        <v>23180</v>
      </c>
      <c r="L350" s="592">
        <f t="shared" si="123"/>
        <v>7213.9299999999985</v>
      </c>
      <c r="M350" s="591">
        <f t="shared" si="123"/>
        <v>23180</v>
      </c>
      <c r="N350" s="592">
        <f t="shared" si="123"/>
        <v>12138.75</v>
      </c>
      <c r="O350" s="593">
        <f t="shared" si="123"/>
        <v>23180</v>
      </c>
      <c r="P350" s="338">
        <f t="shared" si="123"/>
        <v>0</v>
      </c>
      <c r="Q350" s="593">
        <v>23180</v>
      </c>
      <c r="R350" s="338">
        <f>SUM(R334:R349)</f>
        <v>856.75</v>
      </c>
      <c r="S350" s="594">
        <f>SUM(S334:S349)</f>
        <v>23180</v>
      </c>
      <c r="T350" s="594">
        <f>SUM(T334:T349)</f>
        <v>23180</v>
      </c>
      <c r="U350" s="594"/>
      <c r="V350" s="594">
        <f>SUM(V334:V349)</f>
        <v>23180</v>
      </c>
      <c r="W350" s="595">
        <f>SUM(W334:W349)</f>
        <v>-7527.9300000000012</v>
      </c>
      <c r="X350" s="596">
        <f>SUM(X334:X349)</f>
        <v>23180</v>
      </c>
      <c r="Y350" s="502">
        <v>-9087.65</v>
      </c>
      <c r="Z350" s="596">
        <f>SUM(Z334:Z349)</f>
        <v>23180</v>
      </c>
      <c r="AA350" s="596">
        <f>SUM(AA334:AA349)</f>
        <v>-21125.43</v>
      </c>
      <c r="AB350" s="596">
        <f>SUM(AB334:AB349)</f>
        <v>23180</v>
      </c>
      <c r="AC350" s="597">
        <v>-21125.43</v>
      </c>
      <c r="AD350" s="596">
        <f>SUM(AD334:AD349)</f>
        <v>17630</v>
      </c>
      <c r="AE350" s="596">
        <f t="shared" ref="AE350" si="124">SUM(AE334:AE349)</f>
        <v>-19695.93</v>
      </c>
      <c r="AF350" s="596">
        <f>SUM(AF334:AF349)</f>
        <v>17440</v>
      </c>
      <c r="AG350" s="596">
        <f t="shared" ref="AG350" si="125">SUM(AG334:AG349)</f>
        <v>-12965.11</v>
      </c>
      <c r="AH350" s="596">
        <f>SUM(AH334:AH349)</f>
        <v>17440</v>
      </c>
      <c r="AI350" s="596">
        <f>SUM(AI334:AI349)</f>
        <v>17440</v>
      </c>
      <c r="AJ350" s="596">
        <f>SUM(AJ334:AJ349)</f>
        <v>17440</v>
      </c>
      <c r="AK350" s="702"/>
      <c r="AL350" s="805"/>
      <c r="AM350" s="106"/>
      <c r="AN350" s="106"/>
    </row>
    <row r="351" spans="1:40">
      <c r="A351" s="556">
        <v>5</v>
      </c>
      <c r="B351" s="557" t="s">
        <v>16</v>
      </c>
      <c r="C351" s="557">
        <v>5</v>
      </c>
      <c r="D351" s="557" t="s">
        <v>16</v>
      </c>
      <c r="E351" s="558" t="s">
        <v>75</v>
      </c>
      <c r="F351" s="557" t="s">
        <v>16</v>
      </c>
      <c r="G351" s="559" t="s">
        <v>70</v>
      </c>
      <c r="H351" s="587" t="s">
        <v>364</v>
      </c>
      <c r="I351" s="534"/>
      <c r="J351" s="560"/>
      <c r="K351" s="534"/>
      <c r="L351" s="560"/>
      <c r="M351" s="534"/>
      <c r="N351" s="560"/>
      <c r="O351" s="567"/>
      <c r="P351" s="561"/>
      <c r="Q351" s="567"/>
      <c r="R351" s="561"/>
      <c r="S351" s="568"/>
      <c r="T351" s="568"/>
      <c r="U351" s="568"/>
      <c r="V351" s="568"/>
      <c r="W351" s="562"/>
      <c r="X351" s="569"/>
      <c r="Y351" s="246"/>
      <c r="Z351" s="569"/>
      <c r="AA351" s="570"/>
      <c r="AB351" s="569"/>
      <c r="AC351" s="570"/>
      <c r="AD351" s="569"/>
      <c r="AE351" s="570"/>
      <c r="AF351" s="569"/>
      <c r="AG351" s="776"/>
      <c r="AH351" s="569"/>
      <c r="AI351" s="569"/>
      <c r="AJ351" s="569"/>
      <c r="AK351" s="710"/>
      <c r="AL351" s="805"/>
      <c r="AM351" s="106"/>
      <c r="AN351" s="106"/>
    </row>
    <row r="352" spans="1:40">
      <c r="A352" s="80">
        <v>5</v>
      </c>
      <c r="B352" s="14" t="s">
        <v>16</v>
      </c>
      <c r="C352" s="14">
        <v>5</v>
      </c>
      <c r="D352" s="14" t="s">
        <v>16</v>
      </c>
      <c r="E352" s="15" t="s">
        <v>75</v>
      </c>
      <c r="F352" s="14" t="s">
        <v>16</v>
      </c>
      <c r="G352" s="81" t="s">
        <v>81</v>
      </c>
      <c r="H352" s="598" t="s">
        <v>365</v>
      </c>
      <c r="I352" s="463">
        <v>2050</v>
      </c>
      <c r="J352" s="413">
        <v>1057.9000000000001</v>
      </c>
      <c r="K352" s="412">
        <v>2050</v>
      </c>
      <c r="L352" s="413">
        <v>384.46</v>
      </c>
      <c r="M352" s="412">
        <v>2050</v>
      </c>
      <c r="N352" s="413">
        <v>2015.15</v>
      </c>
      <c r="O352" s="464">
        <v>2050</v>
      </c>
      <c r="P352" s="551"/>
      <c r="Q352" s="464">
        <v>2050</v>
      </c>
      <c r="R352" s="413">
        <v>0</v>
      </c>
      <c r="S352" s="465">
        <v>2050</v>
      </c>
      <c r="T352" s="465">
        <v>2050</v>
      </c>
      <c r="U352" s="465">
        <v>-177.17</v>
      </c>
      <c r="V352" s="465">
        <v>2050</v>
      </c>
      <c r="W352" s="466">
        <v>-177.17</v>
      </c>
      <c r="X352" s="467">
        <v>2050</v>
      </c>
      <c r="Y352" s="218">
        <v>-757.1</v>
      </c>
      <c r="Z352" s="467">
        <v>2050</v>
      </c>
      <c r="AA352" s="548">
        <v>-757.1</v>
      </c>
      <c r="AB352" s="467">
        <v>2050</v>
      </c>
      <c r="AC352" s="548">
        <v>-757.1</v>
      </c>
      <c r="AD352" s="694">
        <v>1300</v>
      </c>
      <c r="AE352" s="548">
        <v>-725.47</v>
      </c>
      <c r="AF352" s="863">
        <v>1100</v>
      </c>
      <c r="AG352" s="695">
        <v>-686.19</v>
      </c>
      <c r="AH352" s="863">
        <v>1100</v>
      </c>
      <c r="AI352" s="863">
        <v>1100</v>
      </c>
      <c r="AJ352" s="863">
        <v>1100</v>
      </c>
      <c r="AK352" s="707" t="s">
        <v>277</v>
      </c>
      <c r="AL352" s="805"/>
      <c r="AM352" s="106"/>
      <c r="AN352" s="106"/>
    </row>
    <row r="353" spans="1:1026">
      <c r="A353" s="80">
        <v>5</v>
      </c>
      <c r="B353" s="14" t="s">
        <v>16</v>
      </c>
      <c r="C353" s="14">
        <v>5</v>
      </c>
      <c r="D353" s="14" t="s">
        <v>16</v>
      </c>
      <c r="E353" s="15" t="s">
        <v>75</v>
      </c>
      <c r="F353" s="14" t="s">
        <v>16</v>
      </c>
      <c r="G353" s="81" t="s">
        <v>84</v>
      </c>
      <c r="H353" s="589" t="s">
        <v>366</v>
      </c>
      <c r="I353" s="396">
        <v>1510</v>
      </c>
      <c r="J353" s="321">
        <v>1052.56</v>
      </c>
      <c r="K353" s="320">
        <v>1510</v>
      </c>
      <c r="L353" s="321">
        <v>245.6</v>
      </c>
      <c r="M353" s="320">
        <v>1510</v>
      </c>
      <c r="N353" s="321">
        <v>245.6</v>
      </c>
      <c r="O353" s="322">
        <v>1510</v>
      </c>
      <c r="P353" s="323"/>
      <c r="Q353" s="322">
        <v>1510</v>
      </c>
      <c r="R353" s="321">
        <v>0</v>
      </c>
      <c r="S353" s="324">
        <v>1510</v>
      </c>
      <c r="T353" s="324">
        <v>1510</v>
      </c>
      <c r="U353" s="324">
        <v>0</v>
      </c>
      <c r="V353" s="324">
        <v>1510</v>
      </c>
      <c r="W353" s="325">
        <v>-799.59</v>
      </c>
      <c r="X353" s="326">
        <v>1510</v>
      </c>
      <c r="Y353" s="116">
        <v>-1119.3399999999999</v>
      </c>
      <c r="Z353" s="326">
        <v>1510</v>
      </c>
      <c r="AA353" s="511">
        <v>-1566.06</v>
      </c>
      <c r="AB353" s="326">
        <v>1510</v>
      </c>
      <c r="AC353" s="511">
        <v>-1566.06</v>
      </c>
      <c r="AD353" s="694">
        <v>1450</v>
      </c>
      <c r="AE353" s="511">
        <v>-1510</v>
      </c>
      <c r="AF353" s="863">
        <v>1350</v>
      </c>
      <c r="AG353" s="695">
        <v>-1521.49</v>
      </c>
      <c r="AH353" s="863">
        <v>1350</v>
      </c>
      <c r="AI353" s="863">
        <v>1350</v>
      </c>
      <c r="AJ353" s="863">
        <v>1350</v>
      </c>
      <c r="AK353" s="707" t="s">
        <v>277</v>
      </c>
      <c r="AL353" s="805"/>
      <c r="AM353" s="106"/>
      <c r="AN353" s="106"/>
    </row>
    <row r="354" spans="1:1026">
      <c r="A354" s="144"/>
      <c r="B354" s="680"/>
      <c r="C354" s="680"/>
      <c r="D354" s="680"/>
      <c r="E354" s="676"/>
      <c r="F354" s="680"/>
      <c r="G354" s="145"/>
      <c r="H354" s="146" t="s">
        <v>367</v>
      </c>
      <c r="I354" s="495">
        <f t="shared" ref="I354:P354" si="126">SUM(I352:I353)</f>
        <v>3560</v>
      </c>
      <c r="J354" s="496">
        <f t="shared" si="126"/>
        <v>2110.46</v>
      </c>
      <c r="K354" s="495">
        <f t="shared" si="126"/>
        <v>3560</v>
      </c>
      <c r="L354" s="496">
        <f t="shared" si="126"/>
        <v>630.05999999999995</v>
      </c>
      <c r="M354" s="495">
        <f t="shared" si="126"/>
        <v>3560</v>
      </c>
      <c r="N354" s="496">
        <f t="shared" si="126"/>
        <v>2260.75</v>
      </c>
      <c r="O354" s="497">
        <f t="shared" si="126"/>
        <v>3560</v>
      </c>
      <c r="P354" s="498">
        <f t="shared" si="126"/>
        <v>0</v>
      </c>
      <c r="Q354" s="497">
        <v>3560</v>
      </c>
      <c r="R354" s="498">
        <f>SUM(R352:R353)</f>
        <v>0</v>
      </c>
      <c r="S354" s="499">
        <f>SUM(S352:S353)</f>
        <v>3560</v>
      </c>
      <c r="T354" s="499">
        <f>SUM(T352:T353)</f>
        <v>3560</v>
      </c>
      <c r="U354" s="499"/>
      <c r="V354" s="499">
        <f>SUM(V352:V353)</f>
        <v>3560</v>
      </c>
      <c r="W354" s="500">
        <f>SUM(W352:W353)</f>
        <v>-976.76</v>
      </c>
      <c r="X354" s="501">
        <f>SUM(X352:X353)</f>
        <v>3560</v>
      </c>
      <c r="Y354" s="502">
        <v>-1876.44</v>
      </c>
      <c r="Z354" s="501">
        <f>SUM(Z352:Z353)</f>
        <v>3560</v>
      </c>
      <c r="AA354" s="501">
        <f>SUM(AA352:AA353)</f>
        <v>-2323.16</v>
      </c>
      <c r="AB354" s="501">
        <f>SUM(AB352:AB353)</f>
        <v>3560</v>
      </c>
      <c r="AC354" s="509">
        <v>-2323.16</v>
      </c>
      <c r="AD354" s="501">
        <f>SUM(AD352:AD353)</f>
        <v>2750</v>
      </c>
      <c r="AE354" s="501">
        <f t="shared" ref="AE354" si="127">SUM(AE352:AE353)</f>
        <v>-2235.4700000000003</v>
      </c>
      <c r="AF354" s="501">
        <f>SUM(AF352:AF353)</f>
        <v>2450</v>
      </c>
      <c r="AG354" s="501">
        <f t="shared" ref="AG354" si="128">SUM(AG352:AG353)</f>
        <v>-2207.6800000000003</v>
      </c>
      <c r="AH354" s="501">
        <f>SUM(AH352:AH353)</f>
        <v>2450</v>
      </c>
      <c r="AI354" s="501">
        <f>SUM(AI352:AI353)</f>
        <v>2450</v>
      </c>
      <c r="AJ354" s="501">
        <f>SUM(AJ352:AJ353)</f>
        <v>2450</v>
      </c>
      <c r="AK354" s="702"/>
      <c r="AL354" s="805"/>
      <c r="AM354" s="106"/>
      <c r="AN354" s="106"/>
    </row>
    <row r="355" spans="1:1026">
      <c r="A355" s="80"/>
      <c r="B355" s="14"/>
      <c r="C355" s="14"/>
      <c r="D355" s="14"/>
      <c r="E355" s="15"/>
      <c r="F355" s="14"/>
      <c r="G355" s="81"/>
      <c r="H355" s="319"/>
      <c r="I355" s="599"/>
      <c r="J355" s="600"/>
      <c r="K355" s="599"/>
      <c r="L355" s="600"/>
      <c r="M355" s="599"/>
      <c r="N355" s="600"/>
      <c r="O355" s="601"/>
      <c r="P355" s="602"/>
      <c r="Q355" s="601"/>
      <c r="R355" s="600"/>
      <c r="S355" s="603"/>
      <c r="T355" s="603"/>
      <c r="U355" s="603"/>
      <c r="V355" s="603"/>
      <c r="W355" s="604"/>
      <c r="X355" s="605"/>
      <c r="Y355" s="163"/>
      <c r="Z355" s="605"/>
      <c r="AA355" s="606"/>
      <c r="AB355" s="605"/>
      <c r="AC355" s="606"/>
      <c r="AD355" s="605"/>
      <c r="AE355" s="606"/>
      <c r="AF355" s="605"/>
      <c r="AG355" s="780"/>
      <c r="AH355" s="605"/>
      <c r="AI355" s="605"/>
      <c r="AJ355" s="605"/>
      <c r="AK355" s="700"/>
      <c r="AL355" s="805"/>
      <c r="AM355" s="106"/>
      <c r="AN355" s="106"/>
    </row>
    <row r="356" spans="1:1026">
      <c r="A356" s="556">
        <v>5</v>
      </c>
      <c r="B356" s="557" t="s">
        <v>16</v>
      </c>
      <c r="C356" s="557">
        <v>5</v>
      </c>
      <c r="D356" s="557" t="s">
        <v>16</v>
      </c>
      <c r="E356" s="558" t="s">
        <v>132</v>
      </c>
      <c r="F356" s="557" t="s">
        <v>16</v>
      </c>
      <c r="G356" s="559" t="s">
        <v>70</v>
      </c>
      <c r="H356" s="587" t="s">
        <v>368</v>
      </c>
      <c r="I356" s="534"/>
      <c r="J356" s="560"/>
      <c r="K356" s="534"/>
      <c r="L356" s="560"/>
      <c r="M356" s="534"/>
      <c r="N356" s="560"/>
      <c r="O356" s="567"/>
      <c r="P356" s="561"/>
      <c r="Q356" s="567"/>
      <c r="R356" s="560"/>
      <c r="S356" s="568"/>
      <c r="T356" s="568"/>
      <c r="U356" s="568"/>
      <c r="V356" s="568"/>
      <c r="W356" s="562"/>
      <c r="X356" s="569"/>
      <c r="Y356" s="246"/>
      <c r="Z356" s="569"/>
      <c r="AA356" s="570"/>
      <c r="AB356" s="569"/>
      <c r="AC356" s="570"/>
      <c r="AD356" s="569"/>
      <c r="AE356" s="570"/>
      <c r="AF356" s="569"/>
      <c r="AG356" s="776"/>
      <c r="AH356" s="569"/>
      <c r="AI356" s="569"/>
      <c r="AJ356" s="569"/>
      <c r="AK356" s="710"/>
      <c r="AL356" s="805"/>
      <c r="AM356" s="106"/>
      <c r="AN356" s="106"/>
    </row>
    <row r="357" spans="1:1026">
      <c r="A357" s="80">
        <v>5</v>
      </c>
      <c r="B357" s="14" t="s">
        <v>16</v>
      </c>
      <c r="C357" s="14">
        <v>5</v>
      </c>
      <c r="D357" s="14" t="s">
        <v>16</v>
      </c>
      <c r="E357" s="15" t="s">
        <v>132</v>
      </c>
      <c r="F357" s="14" t="s">
        <v>16</v>
      </c>
      <c r="G357" s="81" t="s">
        <v>81</v>
      </c>
      <c r="H357" s="564" t="s">
        <v>369</v>
      </c>
      <c r="I357" s="463">
        <v>1670</v>
      </c>
      <c r="J357" s="413">
        <v>486</v>
      </c>
      <c r="K357" s="412">
        <v>1670</v>
      </c>
      <c r="L357" s="413">
        <v>1447.1</v>
      </c>
      <c r="M357" s="412">
        <v>1670</v>
      </c>
      <c r="N357" s="413">
        <v>1447.1</v>
      </c>
      <c r="O357" s="464">
        <v>1670</v>
      </c>
      <c r="P357" s="551"/>
      <c r="Q357" s="464">
        <v>1670</v>
      </c>
      <c r="R357" s="413">
        <v>0</v>
      </c>
      <c r="S357" s="465">
        <v>1670</v>
      </c>
      <c r="T357" s="465">
        <v>1670</v>
      </c>
      <c r="U357" s="465">
        <v>-337.68</v>
      </c>
      <c r="V357" s="465">
        <v>1670</v>
      </c>
      <c r="W357" s="466">
        <v>-337.68</v>
      </c>
      <c r="X357" s="467">
        <v>1670</v>
      </c>
      <c r="Y357" s="218">
        <v>-180.03</v>
      </c>
      <c r="Z357" s="467">
        <v>1670</v>
      </c>
      <c r="AA357" s="548">
        <v>-1635.24</v>
      </c>
      <c r="AB357" s="467">
        <v>1670</v>
      </c>
      <c r="AC357" s="548">
        <v>-1635.24</v>
      </c>
      <c r="AD357" s="694">
        <v>850</v>
      </c>
      <c r="AE357" s="548">
        <v>-1715.84</v>
      </c>
      <c r="AF357" s="694">
        <v>850</v>
      </c>
      <c r="AG357" s="695">
        <v>-1248.71</v>
      </c>
      <c r="AH357" s="694">
        <v>850</v>
      </c>
      <c r="AI357" s="694">
        <v>850</v>
      </c>
      <c r="AJ357" s="694">
        <v>850</v>
      </c>
      <c r="AK357" s="707" t="s">
        <v>277</v>
      </c>
      <c r="AL357" s="806"/>
      <c r="AM357" s="106"/>
      <c r="AN357" s="106"/>
    </row>
    <row r="358" spans="1:1026">
      <c r="A358" s="144"/>
      <c r="B358" s="680"/>
      <c r="C358" s="680"/>
      <c r="D358" s="680"/>
      <c r="E358" s="676"/>
      <c r="F358" s="680"/>
      <c r="G358" s="145"/>
      <c r="H358" s="146" t="s">
        <v>370</v>
      </c>
      <c r="I358" s="495">
        <f t="shared" ref="I358:P358" si="129">SUM(I357)</f>
        <v>1670</v>
      </c>
      <c r="J358" s="496">
        <f t="shared" si="129"/>
        <v>486</v>
      </c>
      <c r="K358" s="495">
        <f t="shared" si="129"/>
        <v>1670</v>
      </c>
      <c r="L358" s="496">
        <f t="shared" si="129"/>
        <v>1447.1</v>
      </c>
      <c r="M358" s="495">
        <f t="shared" si="129"/>
        <v>1670</v>
      </c>
      <c r="N358" s="496">
        <f t="shared" si="129"/>
        <v>1447.1</v>
      </c>
      <c r="O358" s="497">
        <f t="shared" si="129"/>
        <v>1670</v>
      </c>
      <c r="P358" s="498">
        <f t="shared" si="129"/>
        <v>0</v>
      </c>
      <c r="Q358" s="497">
        <v>1670</v>
      </c>
      <c r="R358" s="498">
        <f>SUM(R357)</f>
        <v>0</v>
      </c>
      <c r="S358" s="499">
        <f>SUM(S357)</f>
        <v>1670</v>
      </c>
      <c r="T358" s="499">
        <f>SUM(T357)</f>
        <v>1670</v>
      </c>
      <c r="U358" s="499"/>
      <c r="V358" s="499">
        <f>SUM(V357)</f>
        <v>1670</v>
      </c>
      <c r="W358" s="500">
        <f>SUM(W357)</f>
        <v>-337.68</v>
      </c>
      <c r="X358" s="501">
        <f>SUM(X357)</f>
        <v>1670</v>
      </c>
      <c r="Y358" s="502">
        <v>-180.03</v>
      </c>
      <c r="Z358" s="501">
        <f>SUM(Z357)</f>
        <v>1670</v>
      </c>
      <c r="AA358" s="501">
        <f>SUM(AA357)</f>
        <v>-1635.24</v>
      </c>
      <c r="AB358" s="501">
        <f>SUM(AB357)</f>
        <v>1670</v>
      </c>
      <c r="AC358" s="509">
        <v>-1635.24</v>
      </c>
      <c r="AD358" s="501">
        <f>SUM(AD357)</f>
        <v>850</v>
      </c>
      <c r="AE358" s="501">
        <f t="shared" ref="AE358" si="130">SUM(AE357)</f>
        <v>-1715.84</v>
      </c>
      <c r="AF358" s="501">
        <f>SUM(AF357)</f>
        <v>850</v>
      </c>
      <c r="AG358" s="501">
        <f t="shared" ref="AG358" si="131">SUM(AG357)</f>
        <v>-1248.71</v>
      </c>
      <c r="AH358" s="501">
        <f>SUM(AH357)</f>
        <v>850</v>
      </c>
      <c r="AI358" s="501">
        <f>SUM(AI357)</f>
        <v>850</v>
      </c>
      <c r="AJ358" s="501">
        <f>SUM(AJ357)</f>
        <v>850</v>
      </c>
      <c r="AK358" s="702"/>
      <c r="AM358" s="106"/>
      <c r="AN358" s="106"/>
    </row>
    <row r="359" spans="1:1026">
      <c r="A359" s="80"/>
      <c r="B359" s="14"/>
      <c r="C359" s="14"/>
      <c r="D359" s="14"/>
      <c r="E359" s="15"/>
      <c r="F359" s="14"/>
      <c r="G359" s="81"/>
      <c r="H359" s="251"/>
      <c r="I359" s="396"/>
      <c r="J359" s="397"/>
      <c r="K359" s="396"/>
      <c r="L359" s="397"/>
      <c r="M359" s="396"/>
      <c r="N359" s="397"/>
      <c r="O359" s="427"/>
      <c r="P359" s="428"/>
      <c r="Q359" s="427"/>
      <c r="R359" s="397"/>
      <c r="S359" s="429"/>
      <c r="T359" s="429"/>
      <c r="U359" s="429"/>
      <c r="V359" s="429"/>
      <c r="W359" s="430"/>
      <c r="X359" s="431"/>
      <c r="Y359" s="286"/>
      <c r="Z359" s="431"/>
      <c r="AA359" s="566"/>
      <c r="AB359" s="431"/>
      <c r="AC359" s="566"/>
      <c r="AD359" s="431"/>
      <c r="AE359" s="566"/>
      <c r="AF359" s="431"/>
      <c r="AG359" s="775"/>
      <c r="AH359" s="431"/>
      <c r="AI359" s="431"/>
      <c r="AJ359" s="431"/>
      <c r="AK359" s="706"/>
      <c r="AM359" s="106"/>
      <c r="AN359" s="106"/>
    </row>
    <row r="360" spans="1:1026">
      <c r="A360" s="556">
        <v>5</v>
      </c>
      <c r="B360" s="557" t="s">
        <v>16</v>
      </c>
      <c r="C360" s="557">
        <v>5</v>
      </c>
      <c r="D360" s="557" t="s">
        <v>16</v>
      </c>
      <c r="E360" s="558" t="s">
        <v>136</v>
      </c>
      <c r="F360" s="557" t="s">
        <v>16</v>
      </c>
      <c r="G360" s="559" t="s">
        <v>70</v>
      </c>
      <c r="H360" s="587" t="s">
        <v>371</v>
      </c>
      <c r="I360" s="534"/>
      <c r="J360" s="560"/>
      <c r="K360" s="534"/>
      <c r="L360" s="560"/>
      <c r="M360" s="534"/>
      <c r="N360" s="560"/>
      <c r="O360" s="567"/>
      <c r="P360" s="561"/>
      <c r="Q360" s="567"/>
      <c r="R360" s="560"/>
      <c r="S360" s="568"/>
      <c r="T360" s="568"/>
      <c r="U360" s="568"/>
      <c r="V360" s="568"/>
      <c r="W360" s="562"/>
      <c r="X360" s="569"/>
      <c r="Y360" s="246"/>
      <c r="Z360" s="569"/>
      <c r="AA360" s="570"/>
      <c r="AB360" s="569"/>
      <c r="AC360" s="570"/>
      <c r="AD360" s="569"/>
      <c r="AE360" s="570"/>
      <c r="AF360" s="569"/>
      <c r="AG360" s="776"/>
      <c r="AH360" s="569"/>
      <c r="AI360" s="569"/>
      <c r="AJ360" s="569"/>
      <c r="AK360" s="710"/>
      <c r="AM360" s="106"/>
      <c r="AN360" s="106"/>
    </row>
    <row r="361" spans="1:1026">
      <c r="A361" s="80">
        <v>5</v>
      </c>
      <c r="B361" s="14" t="s">
        <v>16</v>
      </c>
      <c r="C361" s="14">
        <v>5</v>
      </c>
      <c r="D361" s="14" t="s">
        <v>16</v>
      </c>
      <c r="E361" s="15" t="s">
        <v>136</v>
      </c>
      <c r="F361" s="14" t="s">
        <v>16</v>
      </c>
      <c r="G361" s="81" t="s">
        <v>81</v>
      </c>
      <c r="H361" s="542" t="s">
        <v>372</v>
      </c>
      <c r="I361" s="264">
        <v>0</v>
      </c>
      <c r="J361" s="84">
        <v>0</v>
      </c>
      <c r="K361" s="83">
        <v>0</v>
      </c>
      <c r="L361" s="84">
        <v>0</v>
      </c>
      <c r="M361" s="83">
        <v>0</v>
      </c>
      <c r="N361" s="84">
        <v>0</v>
      </c>
      <c r="O361" s="85">
        <v>250</v>
      </c>
      <c r="P361" s="86">
        <v>0</v>
      </c>
      <c r="Q361" s="135">
        <v>0</v>
      </c>
      <c r="R361" s="84">
        <v>0</v>
      </c>
      <c r="S361" s="87">
        <v>250</v>
      </c>
      <c r="T361" s="87">
        <v>250</v>
      </c>
      <c r="U361" s="87">
        <v>0</v>
      </c>
      <c r="V361" s="87">
        <v>250</v>
      </c>
      <c r="W361" s="88">
        <v>0</v>
      </c>
      <c r="X361" s="89">
        <v>250</v>
      </c>
      <c r="Y361" s="90">
        <v>0</v>
      </c>
      <c r="Z361" s="89">
        <v>250</v>
      </c>
      <c r="AA361" s="543">
        <v>0</v>
      </c>
      <c r="AB361" s="89">
        <v>250</v>
      </c>
      <c r="AC361" s="543">
        <v>0</v>
      </c>
      <c r="AD361" s="89">
        <v>250</v>
      </c>
      <c r="AE361" s="543"/>
      <c r="AF361" s="89">
        <v>250</v>
      </c>
      <c r="AG361" s="771">
        <v>-11.96</v>
      </c>
      <c r="AH361" s="89">
        <v>250</v>
      </c>
      <c r="AI361" s="89">
        <v>250</v>
      </c>
      <c r="AJ361" s="89">
        <v>250</v>
      </c>
      <c r="AK361" s="707"/>
      <c r="AM361" s="106"/>
      <c r="AN361" s="106"/>
    </row>
    <row r="362" spans="1:1026">
      <c r="A362" s="80">
        <v>5</v>
      </c>
      <c r="B362" s="14" t="s">
        <v>16</v>
      </c>
      <c r="C362" s="14">
        <v>5</v>
      </c>
      <c r="D362" s="14" t="s">
        <v>16</v>
      </c>
      <c r="E362" s="15" t="s">
        <v>136</v>
      </c>
      <c r="F362" s="14" t="s">
        <v>16</v>
      </c>
      <c r="G362" s="81" t="s">
        <v>84</v>
      </c>
      <c r="H362" s="515" t="s">
        <v>373</v>
      </c>
      <c r="I362" s="122">
        <v>1000</v>
      </c>
      <c r="J362" s="95">
        <v>914.34</v>
      </c>
      <c r="K362" s="94">
        <v>2000</v>
      </c>
      <c r="L362" s="95">
        <v>0</v>
      </c>
      <c r="M362" s="94">
        <v>2000</v>
      </c>
      <c r="N362" s="95">
        <v>0</v>
      </c>
      <c r="O362" s="96">
        <v>2000</v>
      </c>
      <c r="P362" s="97">
        <v>0</v>
      </c>
      <c r="Q362" s="98">
        <v>1500</v>
      </c>
      <c r="R362" s="95">
        <v>0</v>
      </c>
      <c r="S362" s="99">
        <v>1500</v>
      </c>
      <c r="T362" s="99">
        <v>1500</v>
      </c>
      <c r="U362" s="99">
        <v>0</v>
      </c>
      <c r="V362" s="99">
        <v>1500</v>
      </c>
      <c r="W362" s="100">
        <v>0</v>
      </c>
      <c r="X362" s="101">
        <v>1500</v>
      </c>
      <c r="Y362" s="102">
        <v>0</v>
      </c>
      <c r="Z362" s="101">
        <v>1500</v>
      </c>
      <c r="AA362" s="127">
        <v>0</v>
      </c>
      <c r="AB362" s="101">
        <v>1500</v>
      </c>
      <c r="AC362" s="127">
        <v>0</v>
      </c>
      <c r="AD362" s="101">
        <v>1500</v>
      </c>
      <c r="AE362" s="127">
        <v>-1274.93</v>
      </c>
      <c r="AF362" s="864">
        <v>2000</v>
      </c>
      <c r="AG362" s="746">
        <v>-1043.78</v>
      </c>
      <c r="AH362" s="864">
        <v>2000</v>
      </c>
      <c r="AI362" s="864">
        <v>2000</v>
      </c>
      <c r="AJ362" s="864">
        <v>2000</v>
      </c>
      <c r="AK362" s="706" t="s">
        <v>446</v>
      </c>
      <c r="AM362" s="106"/>
      <c r="AN362" s="106"/>
    </row>
    <row r="363" spans="1:1026" s="902" customFormat="1">
      <c r="A363" s="882">
        <v>5</v>
      </c>
      <c r="B363" s="883" t="s">
        <v>16</v>
      </c>
      <c r="C363" s="883">
        <v>5</v>
      </c>
      <c r="D363" s="883" t="s">
        <v>16</v>
      </c>
      <c r="E363" s="884" t="s">
        <v>136</v>
      </c>
      <c r="F363" s="883" t="s">
        <v>16</v>
      </c>
      <c r="G363" s="885" t="s">
        <v>86</v>
      </c>
      <c r="H363" s="886" t="s">
        <v>374</v>
      </c>
      <c r="I363" s="992">
        <v>0</v>
      </c>
      <c r="J363" s="927">
        <v>0</v>
      </c>
      <c r="K363" s="926">
        <v>0</v>
      </c>
      <c r="L363" s="927">
        <v>0</v>
      </c>
      <c r="M363" s="926">
        <v>800</v>
      </c>
      <c r="N363" s="927">
        <v>0</v>
      </c>
      <c r="O363" s="929">
        <v>4800</v>
      </c>
      <c r="P363" s="930">
        <v>2800</v>
      </c>
      <c r="Q363" s="993">
        <v>4200</v>
      </c>
      <c r="R363" s="927">
        <v>4600</v>
      </c>
      <c r="S363" s="931">
        <f>20*10*9+20*11*3</f>
        <v>2460</v>
      </c>
      <c r="T363" s="931">
        <f>20*10*9+20*11*3</f>
        <v>2460</v>
      </c>
      <c r="U363" s="995">
        <v>-2800</v>
      </c>
      <c r="V363" s="931">
        <f>(40*10*9+40*12*3)*1</f>
        <v>5040</v>
      </c>
      <c r="W363" s="932">
        <v>-3600</v>
      </c>
      <c r="X363" s="933">
        <f>240*12</f>
        <v>2880</v>
      </c>
      <c r="Y363" s="934">
        <v>-1200</v>
      </c>
      <c r="Z363" s="933">
        <f>280*12</f>
        <v>3360</v>
      </c>
      <c r="AA363" s="1014">
        <v>-1920</v>
      </c>
      <c r="AB363" s="933">
        <f>20*15*12</f>
        <v>3600</v>
      </c>
      <c r="AC363" s="1014">
        <v>-1920</v>
      </c>
      <c r="AD363" s="933">
        <f>20*14*7+20*15*5</f>
        <v>3460</v>
      </c>
      <c r="AE363" s="1014"/>
      <c r="AF363" s="933">
        <f>20*15*12</f>
        <v>3600</v>
      </c>
      <c r="AG363" s="1001"/>
      <c r="AH363" s="933">
        <f>20*15*12+40*15*5</f>
        <v>6600</v>
      </c>
      <c r="AI363" s="933">
        <f>40*15*12</f>
        <v>7200</v>
      </c>
      <c r="AJ363" s="933">
        <f>40*15*12</f>
        <v>7200</v>
      </c>
      <c r="AK363" s="912" t="s">
        <v>515</v>
      </c>
      <c r="AL363" s="899"/>
      <c r="AM363" s="900"/>
      <c r="AN363" s="900"/>
      <c r="AO363" s="901"/>
      <c r="AP363" s="901"/>
      <c r="AQ363" s="901"/>
      <c r="AR363" s="901"/>
      <c r="AS363" s="901"/>
      <c r="AT363" s="901"/>
      <c r="AU363" s="901"/>
      <c r="AV363" s="901"/>
      <c r="AW363" s="901"/>
      <c r="AX363" s="901"/>
      <c r="AY363" s="901"/>
      <c r="AZ363" s="901"/>
      <c r="BA363" s="901"/>
      <c r="BB363" s="901"/>
      <c r="BC363" s="901"/>
      <c r="BD363" s="901"/>
      <c r="BE363" s="901"/>
      <c r="BF363" s="901"/>
      <c r="BG363" s="901"/>
      <c r="BH363" s="901"/>
      <c r="BI363" s="901"/>
      <c r="BJ363" s="901"/>
      <c r="BK363" s="901"/>
      <c r="BL363" s="901"/>
      <c r="BM363" s="901"/>
      <c r="BN363" s="901"/>
      <c r="BO363" s="901"/>
      <c r="BP363" s="901"/>
      <c r="BQ363" s="901"/>
      <c r="BR363" s="901"/>
      <c r="BS363" s="901"/>
      <c r="BT363" s="901"/>
      <c r="BU363" s="901"/>
      <c r="BV363" s="901"/>
      <c r="BW363" s="901"/>
      <c r="BX363" s="901"/>
      <c r="BY363" s="901"/>
      <c r="BZ363" s="901"/>
      <c r="CA363" s="901"/>
      <c r="CB363" s="901"/>
      <c r="CC363" s="901"/>
      <c r="CD363" s="901"/>
      <c r="CE363" s="901"/>
      <c r="CF363" s="901"/>
      <c r="CG363" s="901"/>
      <c r="CH363" s="901"/>
      <c r="CI363" s="901"/>
      <c r="CJ363" s="901"/>
      <c r="CK363" s="901"/>
      <c r="CL363" s="901"/>
      <c r="CM363" s="901"/>
      <c r="CN363" s="901"/>
      <c r="CO363" s="901"/>
      <c r="CP363" s="901"/>
      <c r="CQ363" s="901"/>
      <c r="CR363" s="901"/>
      <c r="CS363" s="901"/>
      <c r="CT363" s="901"/>
      <c r="CU363" s="901"/>
      <c r="CV363" s="901"/>
      <c r="CW363" s="901"/>
      <c r="CX363" s="901"/>
      <c r="CY363" s="901"/>
      <c r="CZ363" s="901"/>
      <c r="DA363" s="901"/>
      <c r="DB363" s="901"/>
      <c r="DC363" s="901"/>
      <c r="DD363" s="901"/>
      <c r="DE363" s="901"/>
      <c r="DF363" s="901"/>
      <c r="DG363" s="901"/>
      <c r="DH363" s="901"/>
      <c r="DI363" s="901"/>
      <c r="DJ363" s="901"/>
      <c r="DK363" s="901"/>
      <c r="DL363" s="901"/>
      <c r="DM363" s="901"/>
      <c r="DN363" s="901"/>
      <c r="DO363" s="901"/>
      <c r="DP363" s="901"/>
      <c r="DQ363" s="901"/>
      <c r="DR363" s="901"/>
      <c r="DS363" s="901"/>
      <c r="DT363" s="901"/>
      <c r="DU363" s="901"/>
      <c r="DV363" s="901"/>
      <c r="DW363" s="901"/>
      <c r="DX363" s="901"/>
      <c r="DY363" s="901"/>
      <c r="DZ363" s="901"/>
      <c r="EA363" s="901"/>
      <c r="EB363" s="901"/>
      <c r="EC363" s="901"/>
      <c r="ED363" s="901"/>
      <c r="EE363" s="901"/>
      <c r="EF363" s="901"/>
      <c r="EG363" s="901"/>
      <c r="EH363" s="901"/>
      <c r="EI363" s="901"/>
      <c r="EJ363" s="901"/>
      <c r="EK363" s="901"/>
      <c r="EL363" s="901"/>
      <c r="EM363" s="901"/>
      <c r="EN363" s="901"/>
      <c r="EO363" s="901"/>
      <c r="EP363" s="901"/>
      <c r="EQ363" s="901"/>
      <c r="ER363" s="901"/>
      <c r="ES363" s="901"/>
      <c r="ET363" s="901"/>
      <c r="EU363" s="901"/>
      <c r="EV363" s="901"/>
      <c r="EW363" s="901"/>
      <c r="EX363" s="901"/>
      <c r="EY363" s="901"/>
      <c r="EZ363" s="901"/>
      <c r="FA363" s="901"/>
      <c r="FB363" s="901"/>
      <c r="FC363" s="901"/>
      <c r="FD363" s="901"/>
      <c r="FE363" s="901"/>
      <c r="FF363" s="901"/>
      <c r="FG363" s="901"/>
      <c r="FH363" s="901"/>
      <c r="FI363" s="901"/>
      <c r="FJ363" s="901"/>
      <c r="FK363" s="901"/>
      <c r="FL363" s="901"/>
      <c r="FM363" s="901"/>
      <c r="FN363" s="901"/>
      <c r="FO363" s="901"/>
      <c r="FP363" s="901"/>
      <c r="FQ363" s="901"/>
      <c r="FR363" s="901"/>
      <c r="FS363" s="901"/>
      <c r="FT363" s="901"/>
      <c r="FU363" s="901"/>
      <c r="FV363" s="901"/>
      <c r="FW363" s="901"/>
      <c r="FX363" s="901"/>
      <c r="FY363" s="901"/>
      <c r="FZ363" s="901"/>
      <c r="GA363" s="901"/>
      <c r="GB363" s="901"/>
      <c r="GC363" s="901"/>
      <c r="GD363" s="901"/>
      <c r="GE363" s="901"/>
      <c r="GF363" s="901"/>
      <c r="GG363" s="901"/>
      <c r="GH363" s="901"/>
      <c r="GI363" s="901"/>
      <c r="GJ363" s="901"/>
      <c r="GK363" s="901"/>
      <c r="GL363" s="901"/>
      <c r="GM363" s="901"/>
      <c r="GN363" s="901"/>
      <c r="GO363" s="901"/>
      <c r="GP363" s="901"/>
      <c r="GQ363" s="901"/>
      <c r="GR363" s="901"/>
      <c r="GS363" s="901"/>
      <c r="GT363" s="901"/>
      <c r="GU363" s="901"/>
      <c r="GV363" s="901"/>
      <c r="GW363" s="901"/>
      <c r="GX363" s="901"/>
      <c r="GY363" s="901"/>
      <c r="GZ363" s="901"/>
      <c r="HA363" s="901"/>
      <c r="HB363" s="901"/>
      <c r="HC363" s="901"/>
      <c r="HD363" s="901"/>
      <c r="HE363" s="901"/>
      <c r="HF363" s="901"/>
      <c r="HG363" s="901"/>
      <c r="HH363" s="901"/>
      <c r="HI363" s="901"/>
      <c r="HJ363" s="901"/>
      <c r="HK363" s="901"/>
      <c r="HL363" s="901"/>
      <c r="HM363" s="901"/>
      <c r="HN363" s="901"/>
      <c r="HO363" s="901"/>
      <c r="HP363" s="901"/>
      <c r="HQ363" s="901"/>
      <c r="HR363" s="901"/>
      <c r="HS363" s="901"/>
      <c r="HT363" s="901"/>
      <c r="HU363" s="901"/>
      <c r="HV363" s="901"/>
      <c r="HW363" s="901"/>
      <c r="HX363" s="901"/>
      <c r="HY363" s="901"/>
      <c r="HZ363" s="901"/>
      <c r="IA363" s="901"/>
      <c r="IB363" s="901"/>
      <c r="IC363" s="901"/>
      <c r="ID363" s="901"/>
      <c r="IE363" s="901"/>
      <c r="IF363" s="901"/>
      <c r="IG363" s="901"/>
      <c r="IH363" s="901"/>
      <c r="II363" s="901"/>
      <c r="IJ363" s="901"/>
      <c r="IK363" s="901"/>
      <c r="IL363" s="901"/>
      <c r="IM363" s="901"/>
      <c r="IN363" s="901"/>
      <c r="IO363" s="901"/>
      <c r="IP363" s="901"/>
      <c r="IQ363" s="901"/>
      <c r="IR363" s="901"/>
      <c r="IS363" s="901"/>
      <c r="IT363" s="901"/>
      <c r="IU363" s="901"/>
      <c r="IV363" s="901"/>
      <c r="IW363" s="901"/>
      <c r="IX363" s="901"/>
      <c r="IY363" s="901"/>
      <c r="IZ363" s="901"/>
      <c r="JA363" s="901"/>
      <c r="JB363" s="901"/>
      <c r="JC363" s="901"/>
      <c r="JD363" s="901"/>
      <c r="JE363" s="901"/>
      <c r="JF363" s="901"/>
      <c r="JG363" s="901"/>
      <c r="JH363" s="901"/>
      <c r="JI363" s="901"/>
      <c r="JJ363" s="901"/>
      <c r="JK363" s="901"/>
      <c r="JL363" s="901"/>
      <c r="JM363" s="901"/>
      <c r="JN363" s="901"/>
      <c r="JO363" s="901"/>
      <c r="JP363" s="901"/>
      <c r="JQ363" s="901"/>
      <c r="JR363" s="901"/>
      <c r="JS363" s="901"/>
      <c r="JT363" s="901"/>
      <c r="JU363" s="901"/>
      <c r="JV363" s="901"/>
      <c r="JW363" s="901"/>
      <c r="JX363" s="901"/>
      <c r="JY363" s="901"/>
      <c r="JZ363" s="901"/>
      <c r="KA363" s="901"/>
      <c r="KB363" s="901"/>
      <c r="KC363" s="901"/>
      <c r="KD363" s="901"/>
      <c r="KE363" s="901"/>
      <c r="KF363" s="901"/>
      <c r="KG363" s="901"/>
      <c r="KH363" s="901"/>
      <c r="KI363" s="901"/>
      <c r="KJ363" s="901"/>
      <c r="KK363" s="901"/>
      <c r="KL363" s="901"/>
      <c r="KM363" s="901"/>
      <c r="KN363" s="901"/>
      <c r="KO363" s="901"/>
      <c r="KP363" s="901"/>
      <c r="KQ363" s="901"/>
      <c r="KR363" s="901"/>
      <c r="KS363" s="901"/>
      <c r="KT363" s="901"/>
      <c r="KU363" s="901"/>
      <c r="KV363" s="901"/>
      <c r="KW363" s="901"/>
      <c r="KX363" s="901"/>
      <c r="KY363" s="901"/>
      <c r="KZ363" s="901"/>
      <c r="LA363" s="901"/>
      <c r="LB363" s="901"/>
      <c r="LC363" s="901"/>
      <c r="LD363" s="901"/>
      <c r="LE363" s="901"/>
      <c r="LF363" s="901"/>
      <c r="LG363" s="901"/>
      <c r="LH363" s="901"/>
      <c r="LI363" s="901"/>
      <c r="LJ363" s="901"/>
      <c r="LK363" s="901"/>
      <c r="LL363" s="901"/>
      <c r="LM363" s="901"/>
      <c r="LN363" s="901"/>
      <c r="LO363" s="901"/>
      <c r="LP363" s="901"/>
      <c r="LQ363" s="901"/>
      <c r="LR363" s="901"/>
      <c r="LS363" s="901"/>
      <c r="LT363" s="901"/>
      <c r="LU363" s="901"/>
      <c r="LV363" s="901"/>
      <c r="LW363" s="901"/>
      <c r="LX363" s="901"/>
      <c r="LY363" s="901"/>
      <c r="LZ363" s="901"/>
      <c r="MA363" s="901"/>
      <c r="MB363" s="901"/>
      <c r="MC363" s="901"/>
      <c r="MD363" s="901"/>
      <c r="ME363" s="901"/>
      <c r="MF363" s="901"/>
      <c r="MG363" s="901"/>
      <c r="MH363" s="901"/>
      <c r="MI363" s="901"/>
      <c r="MJ363" s="901"/>
      <c r="MK363" s="901"/>
      <c r="ML363" s="901"/>
      <c r="MM363" s="901"/>
      <c r="MN363" s="901"/>
      <c r="MO363" s="901"/>
      <c r="MP363" s="901"/>
      <c r="MQ363" s="901"/>
      <c r="MR363" s="901"/>
      <c r="MS363" s="901"/>
      <c r="MT363" s="901"/>
      <c r="MU363" s="901"/>
      <c r="MV363" s="901"/>
      <c r="MW363" s="901"/>
      <c r="MX363" s="901"/>
      <c r="MY363" s="901"/>
      <c r="MZ363" s="901"/>
      <c r="NA363" s="901"/>
      <c r="NB363" s="901"/>
      <c r="NC363" s="901"/>
      <c r="ND363" s="901"/>
      <c r="NE363" s="901"/>
      <c r="NF363" s="901"/>
      <c r="NG363" s="901"/>
      <c r="NH363" s="901"/>
      <c r="NI363" s="901"/>
      <c r="NJ363" s="901"/>
      <c r="NK363" s="901"/>
      <c r="NL363" s="901"/>
      <c r="NM363" s="901"/>
      <c r="NN363" s="901"/>
      <c r="NO363" s="901"/>
      <c r="NP363" s="901"/>
      <c r="NQ363" s="901"/>
      <c r="NR363" s="901"/>
      <c r="NS363" s="901"/>
      <c r="NT363" s="901"/>
      <c r="NU363" s="901"/>
      <c r="NV363" s="901"/>
      <c r="NW363" s="901"/>
      <c r="NX363" s="901"/>
      <c r="NY363" s="901"/>
      <c r="NZ363" s="901"/>
      <c r="OA363" s="901"/>
      <c r="OB363" s="901"/>
      <c r="OC363" s="901"/>
      <c r="OD363" s="901"/>
      <c r="OE363" s="901"/>
      <c r="OF363" s="901"/>
      <c r="OG363" s="901"/>
      <c r="OH363" s="901"/>
      <c r="OI363" s="901"/>
      <c r="OJ363" s="901"/>
      <c r="OK363" s="901"/>
      <c r="OL363" s="901"/>
      <c r="OM363" s="901"/>
      <c r="ON363" s="901"/>
      <c r="OO363" s="901"/>
      <c r="OP363" s="901"/>
      <c r="OQ363" s="901"/>
      <c r="OR363" s="901"/>
      <c r="OS363" s="901"/>
      <c r="OT363" s="901"/>
      <c r="OU363" s="901"/>
      <c r="OV363" s="901"/>
      <c r="OW363" s="901"/>
      <c r="OX363" s="901"/>
      <c r="OY363" s="901"/>
      <c r="OZ363" s="901"/>
      <c r="PA363" s="901"/>
      <c r="PB363" s="901"/>
      <c r="PC363" s="901"/>
      <c r="PD363" s="901"/>
      <c r="PE363" s="901"/>
      <c r="PF363" s="901"/>
      <c r="PG363" s="901"/>
      <c r="PH363" s="901"/>
      <c r="PI363" s="901"/>
      <c r="PJ363" s="901"/>
      <c r="PK363" s="901"/>
      <c r="PL363" s="901"/>
      <c r="PM363" s="901"/>
      <c r="PN363" s="901"/>
      <c r="PO363" s="901"/>
      <c r="PP363" s="901"/>
      <c r="PQ363" s="901"/>
      <c r="PR363" s="901"/>
      <c r="PS363" s="901"/>
      <c r="PT363" s="901"/>
      <c r="PU363" s="901"/>
      <c r="PV363" s="901"/>
      <c r="PW363" s="901"/>
      <c r="PX363" s="901"/>
      <c r="PY363" s="901"/>
      <c r="PZ363" s="901"/>
      <c r="QA363" s="901"/>
      <c r="QB363" s="901"/>
      <c r="QC363" s="901"/>
      <c r="QD363" s="901"/>
      <c r="QE363" s="901"/>
      <c r="QF363" s="901"/>
      <c r="QG363" s="901"/>
      <c r="QH363" s="901"/>
      <c r="QI363" s="901"/>
      <c r="QJ363" s="901"/>
      <c r="QK363" s="901"/>
      <c r="QL363" s="901"/>
      <c r="QM363" s="901"/>
      <c r="QN363" s="901"/>
      <c r="QO363" s="901"/>
      <c r="QP363" s="901"/>
      <c r="QQ363" s="901"/>
      <c r="QR363" s="901"/>
      <c r="QS363" s="901"/>
      <c r="QT363" s="901"/>
      <c r="QU363" s="901"/>
      <c r="QV363" s="901"/>
      <c r="QW363" s="901"/>
      <c r="QX363" s="901"/>
      <c r="QY363" s="901"/>
      <c r="QZ363" s="901"/>
      <c r="RA363" s="901"/>
      <c r="RB363" s="901"/>
      <c r="RC363" s="901"/>
      <c r="RD363" s="901"/>
      <c r="RE363" s="901"/>
      <c r="RF363" s="901"/>
      <c r="RG363" s="901"/>
      <c r="RH363" s="901"/>
      <c r="RI363" s="901"/>
      <c r="RJ363" s="901"/>
      <c r="RK363" s="901"/>
      <c r="RL363" s="901"/>
      <c r="RM363" s="901"/>
      <c r="RN363" s="901"/>
      <c r="RO363" s="901"/>
      <c r="RP363" s="901"/>
      <c r="RQ363" s="901"/>
      <c r="RR363" s="901"/>
      <c r="RS363" s="901"/>
      <c r="RT363" s="901"/>
      <c r="RU363" s="901"/>
      <c r="RV363" s="901"/>
      <c r="RW363" s="901"/>
      <c r="RX363" s="901"/>
      <c r="RY363" s="901"/>
      <c r="RZ363" s="901"/>
      <c r="SA363" s="901"/>
      <c r="SB363" s="901"/>
      <c r="SC363" s="901"/>
      <c r="SD363" s="901"/>
      <c r="SE363" s="901"/>
      <c r="SF363" s="901"/>
      <c r="SG363" s="901"/>
      <c r="SH363" s="901"/>
      <c r="SI363" s="901"/>
      <c r="SJ363" s="901"/>
      <c r="SK363" s="901"/>
      <c r="SL363" s="901"/>
      <c r="SM363" s="901"/>
      <c r="SN363" s="901"/>
      <c r="SO363" s="901"/>
      <c r="SP363" s="901"/>
      <c r="SQ363" s="901"/>
      <c r="SR363" s="901"/>
      <c r="SS363" s="901"/>
      <c r="ST363" s="901"/>
      <c r="SU363" s="901"/>
      <c r="SV363" s="901"/>
      <c r="SW363" s="901"/>
      <c r="SX363" s="901"/>
      <c r="SY363" s="901"/>
      <c r="SZ363" s="901"/>
      <c r="TA363" s="901"/>
      <c r="TB363" s="901"/>
      <c r="TC363" s="901"/>
      <c r="TD363" s="901"/>
      <c r="TE363" s="901"/>
      <c r="TF363" s="901"/>
      <c r="TG363" s="901"/>
      <c r="TH363" s="901"/>
      <c r="TI363" s="901"/>
      <c r="TJ363" s="901"/>
      <c r="TK363" s="901"/>
      <c r="TL363" s="901"/>
      <c r="TM363" s="901"/>
      <c r="TN363" s="901"/>
      <c r="TO363" s="901"/>
      <c r="TP363" s="901"/>
      <c r="TQ363" s="901"/>
      <c r="TR363" s="901"/>
      <c r="TS363" s="901"/>
      <c r="TT363" s="901"/>
      <c r="TU363" s="901"/>
      <c r="TV363" s="901"/>
      <c r="TW363" s="901"/>
      <c r="TX363" s="901"/>
      <c r="TY363" s="901"/>
      <c r="TZ363" s="901"/>
      <c r="UA363" s="901"/>
      <c r="UB363" s="901"/>
      <c r="UC363" s="901"/>
      <c r="UD363" s="901"/>
      <c r="UE363" s="901"/>
      <c r="UF363" s="901"/>
      <c r="UG363" s="901"/>
      <c r="UH363" s="901"/>
      <c r="UI363" s="901"/>
      <c r="UJ363" s="901"/>
      <c r="UK363" s="901"/>
      <c r="UL363" s="901"/>
      <c r="UM363" s="901"/>
      <c r="UN363" s="901"/>
      <c r="UO363" s="901"/>
      <c r="UP363" s="901"/>
      <c r="UQ363" s="901"/>
      <c r="UR363" s="901"/>
      <c r="US363" s="901"/>
      <c r="UT363" s="901"/>
      <c r="UU363" s="901"/>
      <c r="UV363" s="901"/>
      <c r="UW363" s="901"/>
      <c r="UX363" s="901"/>
      <c r="UY363" s="901"/>
      <c r="UZ363" s="901"/>
      <c r="VA363" s="901"/>
      <c r="VB363" s="901"/>
      <c r="VC363" s="901"/>
      <c r="VD363" s="901"/>
      <c r="VE363" s="901"/>
      <c r="VF363" s="901"/>
      <c r="VG363" s="901"/>
      <c r="VH363" s="901"/>
      <c r="VI363" s="901"/>
      <c r="VJ363" s="901"/>
      <c r="VK363" s="901"/>
      <c r="VL363" s="901"/>
      <c r="VM363" s="901"/>
      <c r="VN363" s="901"/>
      <c r="VO363" s="901"/>
      <c r="VP363" s="901"/>
      <c r="VQ363" s="901"/>
      <c r="VR363" s="901"/>
      <c r="VS363" s="901"/>
      <c r="VT363" s="901"/>
      <c r="VU363" s="901"/>
      <c r="VV363" s="901"/>
      <c r="VW363" s="901"/>
      <c r="VX363" s="901"/>
      <c r="VY363" s="901"/>
      <c r="VZ363" s="901"/>
      <c r="WA363" s="901"/>
      <c r="WB363" s="901"/>
      <c r="WC363" s="901"/>
      <c r="WD363" s="901"/>
      <c r="WE363" s="901"/>
      <c r="WF363" s="901"/>
      <c r="WG363" s="901"/>
      <c r="WH363" s="901"/>
      <c r="WI363" s="901"/>
      <c r="WJ363" s="901"/>
      <c r="WK363" s="901"/>
      <c r="WL363" s="901"/>
      <c r="WM363" s="901"/>
      <c r="WN363" s="901"/>
      <c r="WO363" s="901"/>
      <c r="WP363" s="901"/>
      <c r="WQ363" s="901"/>
      <c r="WR363" s="901"/>
      <c r="WS363" s="901"/>
      <c r="WT363" s="901"/>
      <c r="WU363" s="901"/>
      <c r="WV363" s="901"/>
      <c r="WW363" s="901"/>
      <c r="WX363" s="901"/>
      <c r="WY363" s="901"/>
      <c r="WZ363" s="901"/>
      <c r="XA363" s="901"/>
      <c r="XB363" s="901"/>
      <c r="XC363" s="901"/>
      <c r="XD363" s="901"/>
      <c r="XE363" s="901"/>
      <c r="XF363" s="901"/>
      <c r="XG363" s="901"/>
      <c r="XH363" s="901"/>
      <c r="XI363" s="901"/>
      <c r="XJ363" s="901"/>
      <c r="XK363" s="901"/>
      <c r="XL363" s="901"/>
      <c r="XM363" s="901"/>
      <c r="XN363" s="901"/>
      <c r="XO363" s="901"/>
      <c r="XP363" s="901"/>
      <c r="XQ363" s="901"/>
      <c r="XR363" s="901"/>
      <c r="XS363" s="901"/>
      <c r="XT363" s="901"/>
      <c r="XU363" s="901"/>
      <c r="XV363" s="901"/>
      <c r="XW363" s="901"/>
      <c r="XX363" s="901"/>
      <c r="XY363" s="901"/>
      <c r="XZ363" s="901"/>
      <c r="YA363" s="901"/>
      <c r="YB363" s="901"/>
      <c r="YC363" s="901"/>
      <c r="YD363" s="901"/>
      <c r="YE363" s="901"/>
      <c r="YF363" s="901"/>
      <c r="YG363" s="901"/>
      <c r="YH363" s="901"/>
      <c r="YI363" s="901"/>
      <c r="YJ363" s="901"/>
      <c r="YK363" s="901"/>
      <c r="YL363" s="901"/>
      <c r="YM363" s="901"/>
      <c r="YN363" s="901"/>
      <c r="YO363" s="901"/>
      <c r="YP363" s="901"/>
      <c r="YQ363" s="901"/>
      <c r="YR363" s="901"/>
      <c r="YS363" s="901"/>
      <c r="YT363" s="901"/>
      <c r="YU363" s="901"/>
      <c r="YV363" s="901"/>
      <c r="YW363" s="901"/>
      <c r="YX363" s="901"/>
      <c r="YY363" s="901"/>
      <c r="YZ363" s="901"/>
      <c r="ZA363" s="901"/>
      <c r="ZB363" s="901"/>
      <c r="ZC363" s="901"/>
      <c r="ZD363" s="901"/>
      <c r="ZE363" s="901"/>
      <c r="ZF363" s="901"/>
      <c r="ZG363" s="901"/>
      <c r="ZH363" s="901"/>
      <c r="ZI363" s="901"/>
      <c r="ZJ363" s="901"/>
      <c r="ZK363" s="901"/>
      <c r="ZL363" s="901"/>
      <c r="ZM363" s="901"/>
      <c r="ZN363" s="901"/>
      <c r="ZO363" s="901"/>
      <c r="ZP363" s="901"/>
      <c r="ZQ363" s="901"/>
      <c r="ZR363" s="901"/>
      <c r="ZS363" s="901"/>
      <c r="ZT363" s="901"/>
      <c r="ZU363" s="901"/>
      <c r="ZV363" s="901"/>
      <c r="ZW363" s="901"/>
      <c r="ZX363" s="901"/>
      <c r="ZY363" s="901"/>
      <c r="ZZ363" s="901"/>
      <c r="AAA363" s="901"/>
      <c r="AAB363" s="901"/>
      <c r="AAC363" s="901"/>
      <c r="AAD363" s="901"/>
      <c r="AAE363" s="901"/>
      <c r="AAF363" s="901"/>
      <c r="AAG363" s="901"/>
      <c r="AAH363" s="901"/>
      <c r="AAI363" s="901"/>
      <c r="AAJ363" s="901"/>
      <c r="AAK363" s="901"/>
      <c r="AAL363" s="901"/>
      <c r="AAM363" s="901"/>
      <c r="AAN363" s="901"/>
      <c r="AAO363" s="901"/>
      <c r="AAP363" s="901"/>
      <c r="AAQ363" s="901"/>
      <c r="AAR363" s="901"/>
      <c r="AAS363" s="901"/>
      <c r="AAT363" s="901"/>
      <c r="AAU363" s="901"/>
      <c r="AAV363" s="901"/>
      <c r="AAW363" s="901"/>
      <c r="AAX363" s="901"/>
      <c r="AAY363" s="901"/>
      <c r="AAZ363" s="901"/>
      <c r="ABA363" s="901"/>
      <c r="ABB363" s="901"/>
      <c r="ABC363" s="901"/>
      <c r="ABD363" s="901"/>
      <c r="ABE363" s="901"/>
      <c r="ABF363" s="901"/>
      <c r="ABG363" s="901"/>
      <c r="ABH363" s="901"/>
      <c r="ABI363" s="901"/>
      <c r="ABJ363" s="901"/>
      <c r="ABK363" s="901"/>
      <c r="ABL363" s="901"/>
      <c r="ABM363" s="901"/>
      <c r="ABN363" s="901"/>
      <c r="ABO363" s="901"/>
      <c r="ABP363" s="901"/>
      <c r="ABQ363" s="901"/>
      <c r="ABR363" s="901"/>
      <c r="ABS363" s="901"/>
      <c r="ABT363" s="901"/>
      <c r="ABU363" s="901"/>
      <c r="ABV363" s="901"/>
      <c r="ABW363" s="901"/>
      <c r="ABX363" s="901"/>
      <c r="ABY363" s="901"/>
      <c r="ABZ363" s="901"/>
      <c r="ACA363" s="901"/>
      <c r="ACB363" s="901"/>
      <c r="ACC363" s="901"/>
      <c r="ACD363" s="901"/>
      <c r="ACE363" s="901"/>
      <c r="ACF363" s="901"/>
      <c r="ACG363" s="901"/>
      <c r="ACH363" s="901"/>
      <c r="ACI363" s="901"/>
      <c r="ACJ363" s="901"/>
      <c r="ACK363" s="901"/>
      <c r="ACL363" s="901"/>
      <c r="ACM363" s="901"/>
      <c r="ACN363" s="901"/>
      <c r="ACO363" s="901"/>
      <c r="ACP363" s="901"/>
      <c r="ACQ363" s="901"/>
      <c r="ACR363" s="901"/>
      <c r="ACS363" s="901"/>
      <c r="ACT363" s="901"/>
      <c r="ACU363" s="901"/>
      <c r="ACV363" s="901"/>
      <c r="ACW363" s="901"/>
      <c r="ACX363" s="901"/>
      <c r="ACY363" s="901"/>
      <c r="ACZ363" s="901"/>
      <c r="ADA363" s="901"/>
      <c r="ADB363" s="901"/>
      <c r="ADC363" s="901"/>
      <c r="ADD363" s="901"/>
      <c r="ADE363" s="901"/>
      <c r="ADF363" s="901"/>
      <c r="ADG363" s="901"/>
      <c r="ADH363" s="901"/>
      <c r="ADI363" s="901"/>
      <c r="ADJ363" s="901"/>
      <c r="ADK363" s="901"/>
      <c r="ADL363" s="901"/>
      <c r="ADM363" s="901"/>
      <c r="ADN363" s="901"/>
      <c r="ADO363" s="901"/>
      <c r="ADP363" s="901"/>
      <c r="ADQ363" s="901"/>
      <c r="ADR363" s="901"/>
      <c r="ADS363" s="901"/>
      <c r="ADT363" s="901"/>
      <c r="ADU363" s="901"/>
      <c r="ADV363" s="901"/>
      <c r="ADW363" s="901"/>
      <c r="ADX363" s="901"/>
      <c r="ADY363" s="901"/>
      <c r="ADZ363" s="901"/>
      <c r="AEA363" s="901"/>
      <c r="AEB363" s="901"/>
      <c r="AEC363" s="901"/>
      <c r="AED363" s="901"/>
      <c r="AEE363" s="901"/>
      <c r="AEF363" s="901"/>
      <c r="AEG363" s="901"/>
      <c r="AEH363" s="901"/>
      <c r="AEI363" s="901"/>
      <c r="AEJ363" s="901"/>
      <c r="AEK363" s="901"/>
      <c r="AEL363" s="901"/>
      <c r="AEM363" s="901"/>
      <c r="AEN363" s="901"/>
      <c r="AEO363" s="901"/>
      <c r="AEP363" s="901"/>
      <c r="AEQ363" s="901"/>
      <c r="AER363" s="901"/>
      <c r="AES363" s="901"/>
      <c r="AET363" s="901"/>
      <c r="AEU363" s="901"/>
      <c r="AEV363" s="901"/>
      <c r="AEW363" s="901"/>
      <c r="AEX363" s="901"/>
      <c r="AEY363" s="901"/>
      <c r="AEZ363" s="901"/>
      <c r="AFA363" s="901"/>
      <c r="AFB363" s="901"/>
      <c r="AFC363" s="901"/>
      <c r="AFD363" s="901"/>
      <c r="AFE363" s="901"/>
      <c r="AFF363" s="901"/>
      <c r="AFG363" s="901"/>
      <c r="AFH363" s="901"/>
      <c r="AFI363" s="901"/>
      <c r="AFJ363" s="901"/>
      <c r="AFK363" s="901"/>
      <c r="AFL363" s="901"/>
      <c r="AFM363" s="901"/>
      <c r="AFN363" s="901"/>
      <c r="AFO363" s="901"/>
      <c r="AFP363" s="901"/>
      <c r="AFQ363" s="901"/>
      <c r="AFR363" s="901"/>
      <c r="AFS363" s="901"/>
      <c r="AFT363" s="901"/>
      <c r="AFU363" s="901"/>
      <c r="AFV363" s="901"/>
      <c r="AFW363" s="901"/>
      <c r="AFX363" s="901"/>
      <c r="AFY363" s="901"/>
      <c r="AFZ363" s="901"/>
      <c r="AGA363" s="901"/>
      <c r="AGB363" s="901"/>
      <c r="AGC363" s="901"/>
      <c r="AGD363" s="901"/>
      <c r="AGE363" s="901"/>
      <c r="AGF363" s="901"/>
      <c r="AGG363" s="901"/>
      <c r="AGH363" s="901"/>
      <c r="AGI363" s="901"/>
      <c r="AGJ363" s="901"/>
      <c r="AGK363" s="901"/>
      <c r="AGL363" s="901"/>
      <c r="AGM363" s="901"/>
      <c r="AGN363" s="901"/>
      <c r="AGO363" s="901"/>
      <c r="AGP363" s="901"/>
      <c r="AGQ363" s="901"/>
      <c r="AGR363" s="901"/>
      <c r="AGS363" s="901"/>
      <c r="AGT363" s="901"/>
      <c r="AGU363" s="901"/>
      <c r="AGV363" s="901"/>
      <c r="AGW363" s="901"/>
      <c r="AGX363" s="901"/>
      <c r="AGY363" s="901"/>
      <c r="AGZ363" s="901"/>
      <c r="AHA363" s="901"/>
      <c r="AHB363" s="901"/>
      <c r="AHC363" s="901"/>
      <c r="AHD363" s="901"/>
      <c r="AHE363" s="901"/>
      <c r="AHF363" s="901"/>
      <c r="AHG363" s="901"/>
      <c r="AHH363" s="901"/>
      <c r="AHI363" s="901"/>
      <c r="AHJ363" s="901"/>
      <c r="AHK363" s="901"/>
      <c r="AHL363" s="901"/>
      <c r="AHM363" s="901"/>
      <c r="AHN363" s="901"/>
      <c r="AHO363" s="901"/>
      <c r="AHP363" s="901"/>
      <c r="AHQ363" s="901"/>
      <c r="AHR363" s="901"/>
      <c r="AHS363" s="901"/>
      <c r="AHT363" s="901"/>
      <c r="AHU363" s="901"/>
      <c r="AHV363" s="901"/>
      <c r="AHW363" s="901"/>
      <c r="AHX363" s="901"/>
      <c r="AHY363" s="901"/>
      <c r="AHZ363" s="901"/>
      <c r="AIA363" s="901"/>
      <c r="AIB363" s="901"/>
      <c r="AIC363" s="901"/>
      <c r="AID363" s="901"/>
      <c r="AIE363" s="901"/>
      <c r="AIF363" s="901"/>
      <c r="AIG363" s="901"/>
      <c r="AIH363" s="901"/>
      <c r="AII363" s="901"/>
      <c r="AIJ363" s="901"/>
      <c r="AIK363" s="901"/>
      <c r="AIL363" s="901"/>
      <c r="AIM363" s="901"/>
      <c r="AIN363" s="901"/>
      <c r="AIO363" s="901"/>
      <c r="AIP363" s="901"/>
      <c r="AIQ363" s="901"/>
      <c r="AIR363" s="901"/>
      <c r="AIS363" s="901"/>
      <c r="AIT363" s="901"/>
      <c r="AIU363" s="901"/>
      <c r="AIV363" s="901"/>
      <c r="AIW363" s="901"/>
      <c r="AIX363" s="901"/>
      <c r="AIY363" s="901"/>
      <c r="AIZ363" s="901"/>
      <c r="AJA363" s="901"/>
      <c r="AJB363" s="901"/>
      <c r="AJC363" s="901"/>
      <c r="AJD363" s="901"/>
      <c r="AJE363" s="901"/>
      <c r="AJF363" s="901"/>
      <c r="AJG363" s="901"/>
      <c r="AJH363" s="901"/>
      <c r="AJI363" s="901"/>
      <c r="AJJ363" s="901"/>
      <c r="AJK363" s="901"/>
      <c r="AJL363" s="901"/>
      <c r="AJM363" s="901"/>
      <c r="AJN363" s="901"/>
      <c r="AJO363" s="901"/>
      <c r="AJP363" s="901"/>
      <c r="AJQ363" s="901"/>
      <c r="AJR363" s="901"/>
      <c r="AJS363" s="901"/>
      <c r="AJT363" s="901"/>
      <c r="AJU363" s="901"/>
      <c r="AJV363" s="901"/>
      <c r="AJW363" s="901"/>
      <c r="AJX363" s="901"/>
      <c r="AJY363" s="901"/>
      <c r="AJZ363" s="901"/>
      <c r="AKA363" s="901"/>
      <c r="AKB363" s="901"/>
      <c r="AKC363" s="901"/>
      <c r="AKD363" s="901"/>
      <c r="AKE363" s="901"/>
      <c r="AKF363" s="901"/>
      <c r="AKG363" s="901"/>
      <c r="AKH363" s="901"/>
      <c r="AKI363" s="901"/>
      <c r="AKJ363" s="901"/>
      <c r="AKK363" s="901"/>
      <c r="AKL363" s="901"/>
      <c r="AKM363" s="901"/>
      <c r="AKN363" s="901"/>
      <c r="AKO363" s="901"/>
      <c r="AKP363" s="901"/>
      <c r="AKQ363" s="901"/>
      <c r="AKR363" s="901"/>
      <c r="AKS363" s="901"/>
      <c r="AKT363" s="901"/>
      <c r="AKU363" s="901"/>
      <c r="AKV363" s="901"/>
      <c r="AKW363" s="901"/>
      <c r="AKX363" s="901"/>
      <c r="AKY363" s="901"/>
      <c r="AKZ363" s="901"/>
      <c r="ALA363" s="901"/>
      <c r="ALB363" s="901"/>
      <c r="ALC363" s="901"/>
      <c r="ALD363" s="901"/>
      <c r="ALE363" s="901"/>
      <c r="ALF363" s="901"/>
      <c r="ALG363" s="901"/>
      <c r="ALH363" s="901"/>
      <c r="ALI363" s="901"/>
      <c r="ALJ363" s="901"/>
      <c r="ALK363" s="901"/>
      <c r="ALL363" s="901"/>
      <c r="ALM363" s="901"/>
      <c r="ALN363" s="901"/>
      <c r="ALO363" s="901"/>
      <c r="ALP363" s="901"/>
      <c r="ALQ363" s="901"/>
      <c r="ALR363" s="901"/>
      <c r="ALS363" s="901"/>
      <c r="ALT363" s="901"/>
      <c r="ALU363" s="901"/>
      <c r="ALV363" s="901"/>
      <c r="ALW363" s="901"/>
      <c r="ALX363" s="901"/>
      <c r="ALY363" s="901"/>
      <c r="ALZ363" s="901"/>
      <c r="AMA363" s="901"/>
      <c r="AMB363" s="901"/>
      <c r="AMC363" s="901"/>
      <c r="AMD363" s="901"/>
      <c r="AME363" s="901"/>
      <c r="AMF363" s="901"/>
      <c r="AMG363" s="901"/>
      <c r="AMH363" s="901"/>
      <c r="AMI363" s="901"/>
      <c r="AMJ363" s="901"/>
      <c r="AMK363" s="901"/>
      <c r="AML363" s="901"/>
    </row>
    <row r="364" spans="1:1026">
      <c r="A364" s="80">
        <v>5</v>
      </c>
      <c r="B364" s="14" t="s">
        <v>16</v>
      </c>
      <c r="C364" s="14">
        <v>5</v>
      </c>
      <c r="D364" s="14" t="s">
        <v>16</v>
      </c>
      <c r="E364" s="15" t="s">
        <v>136</v>
      </c>
      <c r="F364" s="14" t="s">
        <v>16</v>
      </c>
      <c r="G364" s="81" t="s">
        <v>73</v>
      </c>
      <c r="H364" s="251" t="s">
        <v>375</v>
      </c>
      <c r="I364" s="122">
        <v>2000</v>
      </c>
      <c r="J364" s="95">
        <v>1402.8</v>
      </c>
      <c r="K364" s="94">
        <v>2000</v>
      </c>
      <c r="L364" s="95">
        <v>1193.79</v>
      </c>
      <c r="M364" s="94">
        <v>2000</v>
      </c>
      <c r="N364" s="95">
        <v>1193.79</v>
      </c>
      <c r="O364" s="96">
        <v>2000</v>
      </c>
      <c r="P364" s="97">
        <v>0</v>
      </c>
      <c r="Q364" s="98">
        <v>1000</v>
      </c>
      <c r="R364" s="95">
        <v>0</v>
      </c>
      <c r="S364" s="99">
        <v>2000</v>
      </c>
      <c r="T364" s="99">
        <v>2000</v>
      </c>
      <c r="U364" s="99">
        <v>0</v>
      </c>
      <c r="V364" s="99">
        <v>2000</v>
      </c>
      <c r="W364" s="100">
        <v>-400.1</v>
      </c>
      <c r="X364" s="101">
        <v>2000</v>
      </c>
      <c r="Y364" s="102">
        <v>-444.03</v>
      </c>
      <c r="Z364" s="101">
        <v>2000</v>
      </c>
      <c r="AA364" s="127">
        <v>-3507.46</v>
      </c>
      <c r="AB364" s="101">
        <v>2000</v>
      </c>
      <c r="AC364" s="127">
        <v>-3507.46</v>
      </c>
      <c r="AD364" s="101">
        <v>2000</v>
      </c>
      <c r="AE364" s="127">
        <v>-2570.11</v>
      </c>
      <c r="AF364" s="864">
        <v>2000</v>
      </c>
      <c r="AG364" s="746">
        <v>-1969.27</v>
      </c>
      <c r="AH364" s="864">
        <v>2000</v>
      </c>
      <c r="AI364" s="864">
        <v>2000</v>
      </c>
      <c r="AJ364" s="864">
        <v>2000</v>
      </c>
      <c r="AK364" s="706"/>
      <c r="AM364" s="106"/>
      <c r="AN364" s="106"/>
    </row>
    <row r="365" spans="1:1026">
      <c r="A365" s="80">
        <v>5</v>
      </c>
      <c r="B365" s="14" t="s">
        <v>16</v>
      </c>
      <c r="C365" s="14">
        <v>5</v>
      </c>
      <c r="D365" s="14" t="s">
        <v>16</v>
      </c>
      <c r="E365" s="15" t="s">
        <v>136</v>
      </c>
      <c r="F365" s="14" t="s">
        <v>16</v>
      </c>
      <c r="G365" s="81" t="s">
        <v>77</v>
      </c>
      <c r="H365" s="251" t="s">
        <v>376</v>
      </c>
      <c r="I365" s="122">
        <v>0</v>
      </c>
      <c r="J365" s="95">
        <v>0</v>
      </c>
      <c r="K365" s="94">
        <v>2000</v>
      </c>
      <c r="L365" s="95">
        <v>2233.19</v>
      </c>
      <c r="M365" s="94">
        <v>2233.19</v>
      </c>
      <c r="N365" s="95">
        <v>2233.19</v>
      </c>
      <c r="O365" s="96">
        <v>2500</v>
      </c>
      <c r="P365" s="97">
        <v>0</v>
      </c>
      <c r="Q365" s="98">
        <v>1000</v>
      </c>
      <c r="R365" s="95">
        <v>0</v>
      </c>
      <c r="S365" s="99">
        <v>2500</v>
      </c>
      <c r="T365" s="99">
        <v>2500</v>
      </c>
      <c r="U365" s="99">
        <v>0</v>
      </c>
      <c r="V365" s="99">
        <v>2500</v>
      </c>
      <c r="W365" s="100">
        <v>0</v>
      </c>
      <c r="X365" s="101">
        <v>2500</v>
      </c>
      <c r="Y365" s="102">
        <v>-1331.28</v>
      </c>
      <c r="Z365" s="101">
        <v>2500</v>
      </c>
      <c r="AA365" s="127">
        <v>-1331.28</v>
      </c>
      <c r="AB365" s="101">
        <v>2000</v>
      </c>
      <c r="AC365" s="127">
        <v>-1331.28</v>
      </c>
      <c r="AD365" s="101">
        <v>2000</v>
      </c>
      <c r="AE365" s="127">
        <v>-1500</v>
      </c>
      <c r="AF365" s="864">
        <v>2000</v>
      </c>
      <c r="AG365" s="746">
        <v>-1030.73</v>
      </c>
      <c r="AH365" s="864">
        <v>2000</v>
      </c>
      <c r="AI365" s="864">
        <v>2000</v>
      </c>
      <c r="AJ365" s="864">
        <v>2000</v>
      </c>
      <c r="AK365" s="706"/>
      <c r="AL365" s="514"/>
      <c r="AM365" s="106"/>
      <c r="AN365" s="106"/>
      <c r="AO365" s="65"/>
      <c r="AP365" s="65"/>
      <c r="AQ365" s="65"/>
      <c r="AR365" s="65"/>
      <c r="AS365" s="65"/>
      <c r="AT365" s="65"/>
      <c r="AU365" s="65"/>
      <c r="AV365" s="65"/>
      <c r="AW365" s="65"/>
    </row>
    <row r="366" spans="1:1026">
      <c r="A366" s="80">
        <v>5</v>
      </c>
      <c r="B366" s="14" t="s">
        <v>16</v>
      </c>
      <c r="C366" s="14">
        <v>5</v>
      </c>
      <c r="D366" s="14" t="s">
        <v>16</v>
      </c>
      <c r="E366" s="15" t="s">
        <v>136</v>
      </c>
      <c r="F366" s="14" t="s">
        <v>16</v>
      </c>
      <c r="G366" s="81" t="s">
        <v>118</v>
      </c>
      <c r="H366" s="251" t="s">
        <v>377</v>
      </c>
      <c r="I366" s="94">
        <v>500</v>
      </c>
      <c r="J366" s="95">
        <v>0</v>
      </c>
      <c r="K366" s="94">
        <v>500</v>
      </c>
      <c r="L366" s="95">
        <v>0</v>
      </c>
      <c r="M366" s="94">
        <v>500</v>
      </c>
      <c r="N366" s="95">
        <v>0</v>
      </c>
      <c r="O366" s="96">
        <v>0</v>
      </c>
      <c r="P366" s="97">
        <v>0</v>
      </c>
      <c r="Q366" s="98">
        <v>0</v>
      </c>
      <c r="R366" s="95">
        <v>0</v>
      </c>
      <c r="S366" s="99">
        <v>0</v>
      </c>
      <c r="T366" s="99">
        <v>0</v>
      </c>
      <c r="U366" s="99">
        <v>0</v>
      </c>
      <c r="V366" s="99">
        <v>0</v>
      </c>
      <c r="W366" s="100">
        <v>0</v>
      </c>
      <c r="X366" s="101">
        <v>0</v>
      </c>
      <c r="Y366" s="102">
        <v>0</v>
      </c>
      <c r="Z366" s="101">
        <v>0</v>
      </c>
      <c r="AA366" s="127">
        <v>0</v>
      </c>
      <c r="AB366" s="101">
        <v>0</v>
      </c>
      <c r="AC366" s="127">
        <v>0</v>
      </c>
      <c r="AD366" s="101">
        <v>0</v>
      </c>
      <c r="AE366" s="127"/>
      <c r="AF366" s="101">
        <v>0</v>
      </c>
      <c r="AG366" s="746"/>
      <c r="AH366" s="101">
        <v>0</v>
      </c>
      <c r="AI366" s="101">
        <v>0</v>
      </c>
      <c r="AJ366" s="101">
        <v>0</v>
      </c>
      <c r="AK366" s="706"/>
      <c r="AL366" s="514"/>
      <c r="AM366" s="106"/>
      <c r="AN366" s="106"/>
      <c r="AO366" s="65"/>
      <c r="AP366" s="65"/>
      <c r="AQ366" s="65"/>
      <c r="AR366" s="65"/>
      <c r="AS366" s="65"/>
      <c r="AT366" s="65"/>
      <c r="AU366" s="65"/>
      <c r="AV366" s="65"/>
      <c r="AW366" s="65"/>
    </row>
    <row r="367" spans="1:1026">
      <c r="A367" s="144"/>
      <c r="B367" s="680"/>
      <c r="C367" s="680"/>
      <c r="D367" s="680"/>
      <c r="E367" s="676"/>
      <c r="F367" s="680"/>
      <c r="G367" s="145"/>
      <c r="H367" s="146" t="s">
        <v>378</v>
      </c>
      <c r="I367" s="368">
        <f t="shared" ref="I367:P367" si="132">SUM(I361:I366)</f>
        <v>3500</v>
      </c>
      <c r="J367" s="369">
        <f t="shared" si="132"/>
        <v>2317.14</v>
      </c>
      <c r="K367" s="368">
        <f t="shared" si="132"/>
        <v>6500</v>
      </c>
      <c r="L367" s="369">
        <f t="shared" si="132"/>
        <v>3426.98</v>
      </c>
      <c r="M367" s="368">
        <f t="shared" si="132"/>
        <v>7533.1900000000005</v>
      </c>
      <c r="N367" s="369">
        <f t="shared" si="132"/>
        <v>3426.98</v>
      </c>
      <c r="O367" s="370">
        <f t="shared" si="132"/>
        <v>11550</v>
      </c>
      <c r="P367" s="156">
        <f t="shared" si="132"/>
        <v>2800</v>
      </c>
      <c r="Q367" s="370">
        <v>7700</v>
      </c>
      <c r="R367" s="156">
        <f>SUM(R361:R366)</f>
        <v>4600</v>
      </c>
      <c r="S367" s="371">
        <f>SUM(S361:S366)</f>
        <v>8710</v>
      </c>
      <c r="T367" s="371">
        <f>SUM(T361:T366)</f>
        <v>8710</v>
      </c>
      <c r="U367" s="371"/>
      <c r="V367" s="371">
        <f>SUM(V361:V366)</f>
        <v>11290</v>
      </c>
      <c r="W367" s="398">
        <f>SUM(W361:W366)</f>
        <v>-4000.1</v>
      </c>
      <c r="X367" s="399">
        <f>SUM(X361:X366)</f>
        <v>9130</v>
      </c>
      <c r="Y367" s="502">
        <v>-2975.31</v>
      </c>
      <c r="Z367" s="399">
        <f>SUM(Z361:Z366)</f>
        <v>9610</v>
      </c>
      <c r="AA367" s="399">
        <f>SUM(AA361:AA366)</f>
        <v>-6758.74</v>
      </c>
      <c r="AB367" s="399">
        <f>SUM(AB361:AB366)</f>
        <v>9350</v>
      </c>
      <c r="AC367" s="401">
        <v>-6758.74</v>
      </c>
      <c r="AD367" s="399">
        <f>SUM(AD361:AD366)</f>
        <v>9210</v>
      </c>
      <c r="AE367" s="399">
        <f t="shared" ref="AE367" si="133">SUM(AE361:AE366)</f>
        <v>-5345.04</v>
      </c>
      <c r="AF367" s="399">
        <f>SUM(AF361:AF366)</f>
        <v>9850</v>
      </c>
      <c r="AG367" s="399">
        <f t="shared" ref="AG367" si="134">SUM(AG361:AG366)</f>
        <v>-4055.7400000000002</v>
      </c>
      <c r="AH367" s="399">
        <f>SUM(AH361:AH366)</f>
        <v>12850</v>
      </c>
      <c r="AI367" s="399">
        <f>SUM(AI361:AI366)</f>
        <v>13450</v>
      </c>
      <c r="AJ367" s="399">
        <f>SUM(AJ361:AJ366)</f>
        <v>13450</v>
      </c>
      <c r="AK367" s="702"/>
      <c r="AM367" s="106"/>
      <c r="AN367" s="106"/>
    </row>
    <row r="368" spans="1:1026">
      <c r="A368" s="80"/>
      <c r="B368" s="14"/>
      <c r="C368" s="14"/>
      <c r="D368" s="14"/>
      <c r="E368" s="15"/>
      <c r="F368" s="14"/>
      <c r="G368" s="81"/>
      <c r="H368" s="426"/>
      <c r="I368" s="396"/>
      <c r="J368" s="397"/>
      <c r="K368" s="396"/>
      <c r="L368" s="397"/>
      <c r="M368" s="396"/>
      <c r="N368" s="397"/>
      <c r="O368" s="427"/>
      <c r="P368" s="428"/>
      <c r="Q368" s="427"/>
      <c r="R368" s="397"/>
      <c r="S368" s="429"/>
      <c r="T368" s="429"/>
      <c r="U368" s="429"/>
      <c r="V368" s="429"/>
      <c r="W368" s="430"/>
      <c r="X368" s="431"/>
      <c r="Y368" s="286"/>
      <c r="Z368" s="431"/>
      <c r="AA368" s="431"/>
      <c r="AB368" s="431"/>
      <c r="AC368" s="566"/>
      <c r="AD368" s="431"/>
      <c r="AE368" s="566"/>
      <c r="AF368" s="431"/>
      <c r="AG368" s="775"/>
      <c r="AH368" s="431"/>
      <c r="AI368" s="431"/>
      <c r="AJ368" s="431"/>
      <c r="AK368" s="706"/>
      <c r="AM368" s="106"/>
      <c r="AN368" s="106"/>
    </row>
    <row r="369" spans="1:1026">
      <c r="A369" s="80">
        <v>5</v>
      </c>
      <c r="B369" s="14" t="s">
        <v>16</v>
      </c>
      <c r="C369" s="14">
        <v>5</v>
      </c>
      <c r="D369" s="14" t="s">
        <v>16</v>
      </c>
      <c r="E369" s="15" t="s">
        <v>90</v>
      </c>
      <c r="F369" s="14" t="s">
        <v>16</v>
      </c>
      <c r="G369" s="81" t="s">
        <v>70</v>
      </c>
      <c r="H369" s="426" t="s">
        <v>204</v>
      </c>
      <c r="I369" s="396">
        <v>-30000</v>
      </c>
      <c r="J369" s="397"/>
      <c r="K369" s="396">
        <v>-30000</v>
      </c>
      <c r="L369" s="397"/>
      <c r="M369" s="396">
        <v>-35000</v>
      </c>
      <c r="N369" s="397"/>
      <c r="O369" s="427">
        <v>-30000</v>
      </c>
      <c r="P369" s="428"/>
      <c r="Q369" s="322">
        <v>-30000</v>
      </c>
      <c r="R369" s="397"/>
      <c r="S369" s="324">
        <v>-30000</v>
      </c>
      <c r="T369" s="324">
        <v>-30000</v>
      </c>
      <c r="U369" s="324">
        <v>0</v>
      </c>
      <c r="V369" s="324">
        <v>-30000</v>
      </c>
      <c r="W369" s="325"/>
      <c r="X369" s="326">
        <v>-40000</v>
      </c>
      <c r="Y369" s="116"/>
      <c r="Z369" s="326">
        <v>-40000</v>
      </c>
      <c r="AA369" s="326"/>
      <c r="AB369" s="326">
        <v>-40000</v>
      </c>
      <c r="AC369" s="511"/>
      <c r="AD369" s="326"/>
      <c r="AE369" s="511"/>
      <c r="AF369" s="326"/>
      <c r="AG369" s="769"/>
      <c r="AH369" s="326"/>
      <c r="AI369" s="326"/>
      <c r="AJ369" s="326"/>
      <c r="AK369" s="700" t="s">
        <v>379</v>
      </c>
      <c r="AM369" s="106"/>
      <c r="AN369" s="106"/>
    </row>
    <row r="370" spans="1:1026">
      <c r="A370" s="80"/>
      <c r="B370" s="14"/>
      <c r="C370" s="14"/>
      <c r="D370" s="14"/>
      <c r="E370" s="15"/>
      <c r="F370" s="14"/>
      <c r="G370" s="81"/>
      <c r="H370" s="426"/>
      <c r="I370" s="396"/>
      <c r="J370" s="397"/>
      <c r="K370" s="396"/>
      <c r="L370" s="397"/>
      <c r="M370" s="396"/>
      <c r="N370" s="397"/>
      <c r="O370" s="427"/>
      <c r="P370" s="428"/>
      <c r="Q370" s="427"/>
      <c r="R370" s="397"/>
      <c r="S370" s="429"/>
      <c r="T370" s="429"/>
      <c r="U370" s="429"/>
      <c r="V370" s="429"/>
      <c r="W370" s="430"/>
      <c r="X370" s="431"/>
      <c r="Y370" s="286"/>
      <c r="Z370" s="431"/>
      <c r="AA370" s="431"/>
      <c r="AB370" s="431"/>
      <c r="AC370" s="566"/>
      <c r="AD370" s="431"/>
      <c r="AE370" s="566"/>
      <c r="AF370" s="431"/>
      <c r="AG370" s="775"/>
      <c r="AH370" s="431"/>
      <c r="AI370" s="431"/>
      <c r="AJ370" s="431"/>
      <c r="AK370" s="706"/>
      <c r="AM370" s="106"/>
      <c r="AN370" s="106"/>
    </row>
    <row r="371" spans="1:1026">
      <c r="A371" s="222"/>
      <c r="B371" s="678"/>
      <c r="C371" s="678"/>
      <c r="D371" s="678"/>
      <c r="E371" s="681"/>
      <c r="F371" s="678"/>
      <c r="G371" s="223"/>
      <c r="H371" s="224" t="s">
        <v>380</v>
      </c>
      <c r="I371" s="225">
        <f t="shared" ref="I371:P371" si="135">SUM(I270,I283,I289,I297,I331,I350,I354,I358,I367,I369)</f>
        <v>69680</v>
      </c>
      <c r="J371" s="226">
        <f t="shared" si="135"/>
        <v>68626.23000000001</v>
      </c>
      <c r="K371" s="225">
        <f t="shared" si="135"/>
        <v>72680</v>
      </c>
      <c r="L371" s="226">
        <f t="shared" si="135"/>
        <v>30754.059999999998</v>
      </c>
      <c r="M371" s="225">
        <f t="shared" si="135"/>
        <v>68713.19</v>
      </c>
      <c r="N371" s="226">
        <f t="shared" si="135"/>
        <v>53204.800000000003</v>
      </c>
      <c r="O371" s="607">
        <f t="shared" si="135"/>
        <v>77730</v>
      </c>
      <c r="P371" s="608">
        <f t="shared" si="135"/>
        <v>4033.04</v>
      </c>
      <c r="Q371" s="607">
        <v>73880</v>
      </c>
      <c r="R371" s="608">
        <f>SUM(R270,R283,R289,R297,R331,R350,R354,R358,R367,R369)</f>
        <v>11697.16</v>
      </c>
      <c r="S371" s="228">
        <f>SUM(S270,S283,S289,S297,S331,S350,S354,S358,S367,S369)</f>
        <v>74890</v>
      </c>
      <c r="T371" s="228">
        <f>SUM(T270,T283,T289,T297,T331,T350,T354,T358,T367,T369)</f>
        <v>75690</v>
      </c>
      <c r="U371" s="228"/>
      <c r="V371" s="228">
        <f>SUM(V270,V283,V289,V297,V331,V350,V354,V358,V367,V369)</f>
        <v>78270</v>
      </c>
      <c r="W371" s="229">
        <f>SUM(W270,W283,W289,W297,W331,W350,W354,W358,W367,W369)</f>
        <v>-33147.85</v>
      </c>
      <c r="X371" s="230">
        <f>SUM(X270,X283,X289,X297,X331,X350,X354,X358,X367,X369)</f>
        <v>66110</v>
      </c>
      <c r="Y371" s="609">
        <v>-30546.34</v>
      </c>
      <c r="Z371" s="230">
        <f>SUM(Z270,Z283,Z289,Z297,Z331,Z350,Z354,Z358,Z367,Z369)</f>
        <v>66590</v>
      </c>
      <c r="AA371" s="230">
        <f>SUM(AA270,AA283,AA289,AA297,AA331,AA350,AA354,AA358,AA367,AA369)</f>
        <v>-81230.23000000001</v>
      </c>
      <c r="AB371" s="230">
        <f>SUM(AB270,AB283,AB289,AB297,AB331,AB350,AB354,AB358,AB367,AB369)</f>
        <v>66330</v>
      </c>
      <c r="AC371" s="232">
        <v>-81210.009999999995</v>
      </c>
      <c r="AD371" s="230">
        <f>SUM(AD270,AD283,AD289,AD297,AD331,AD350,AD354,AD358,AD367,AD369)</f>
        <v>76190</v>
      </c>
      <c r="AE371" s="230">
        <f t="shared" ref="AE371" si="136">SUM(AE270,AE283,AE289,AE297,AE331,AE350,AE354,AE358,AE367,AE369)</f>
        <v>-77348.499999999985</v>
      </c>
      <c r="AF371" s="230">
        <f>SUM(AF270,AF283,AF289,AF297,AF331,AF350,AF354,AF358,AF367,AF369)</f>
        <v>78690</v>
      </c>
      <c r="AG371" s="230">
        <f t="shared" ref="AG371" si="137">SUM(AG270,AG283,AG289,AG297,AG331,AG350,AG354,AG358,AG367,AG369)</f>
        <v>-39496.57</v>
      </c>
      <c r="AH371" s="230">
        <f>SUM(AH270,AH283,AH289,AH297,AH331,AH350,AH354,AH358,AH367,AH369)</f>
        <v>81690</v>
      </c>
      <c r="AI371" s="230">
        <f>SUM(AI270,AI283,AI289,AI297,AI331,AI350,AI354,AI358,AI367,AI369)</f>
        <v>82290</v>
      </c>
      <c r="AJ371" s="230">
        <f>SUM(AJ270,AJ283,AJ289,AJ297,AJ331,AJ350,AJ354,AJ358,AJ367,AJ369)</f>
        <v>82290</v>
      </c>
      <c r="AK371" s="708"/>
      <c r="AM371" s="106"/>
      <c r="AN371" s="106"/>
    </row>
    <row r="372" spans="1:1026">
      <c r="A372" s="235">
        <v>5</v>
      </c>
      <c r="B372" s="682" t="s">
        <v>16</v>
      </c>
      <c r="C372" s="682">
        <v>6</v>
      </c>
      <c r="D372" s="682" t="s">
        <v>16</v>
      </c>
      <c r="E372" s="683" t="s">
        <v>70</v>
      </c>
      <c r="F372" s="682" t="s">
        <v>16</v>
      </c>
      <c r="G372" s="236" t="s">
        <v>70</v>
      </c>
      <c r="H372" s="55" t="s">
        <v>381</v>
      </c>
      <c r="I372" s="528"/>
      <c r="J372" s="528"/>
      <c r="K372" s="528"/>
      <c r="L372" s="528"/>
      <c r="M372" s="528"/>
      <c r="N372" s="528"/>
      <c r="O372" s="529"/>
      <c r="P372" s="529"/>
      <c r="Q372" s="529"/>
      <c r="R372" s="528"/>
      <c r="S372" s="530"/>
      <c r="T372" s="530"/>
      <c r="U372" s="530"/>
      <c r="V372" s="530"/>
      <c r="W372" s="530"/>
      <c r="X372" s="531"/>
      <c r="Y372" s="63"/>
      <c r="Z372" s="63"/>
      <c r="AA372" s="63"/>
      <c r="AB372" s="63"/>
      <c r="AC372" s="237"/>
      <c r="AD372" s="63"/>
      <c r="AE372" s="237"/>
      <c r="AF372" s="63"/>
      <c r="AG372" s="742"/>
      <c r="AH372" s="63"/>
      <c r="AI372" s="63"/>
      <c r="AJ372" s="63"/>
      <c r="AK372" s="697"/>
      <c r="AM372" s="106"/>
      <c r="AN372" s="106"/>
    </row>
    <row r="373" spans="1:1026">
      <c r="A373" s="80">
        <v>5</v>
      </c>
      <c r="B373" s="14" t="s">
        <v>16</v>
      </c>
      <c r="C373" s="14">
        <v>6</v>
      </c>
      <c r="D373" s="14" t="s">
        <v>16</v>
      </c>
      <c r="E373" s="15" t="s">
        <v>81</v>
      </c>
      <c r="F373" s="14" t="s">
        <v>16</v>
      </c>
      <c r="G373" s="81" t="s">
        <v>70</v>
      </c>
      <c r="H373" s="278" t="s">
        <v>382</v>
      </c>
      <c r="I373" s="122"/>
      <c r="J373" s="123"/>
      <c r="K373" s="122"/>
      <c r="L373" s="123"/>
      <c r="M373" s="122"/>
      <c r="N373" s="123"/>
      <c r="O373" s="610"/>
      <c r="P373" s="611"/>
      <c r="Q373" s="610"/>
      <c r="R373" s="123"/>
      <c r="S373" s="125"/>
      <c r="T373" s="125"/>
      <c r="U373" s="125"/>
      <c r="V373" s="125"/>
      <c r="W373" s="126"/>
      <c r="X373" s="267"/>
      <c r="Y373" s="268"/>
      <c r="Z373" s="269"/>
      <c r="AA373" s="270"/>
      <c r="AB373" s="269"/>
      <c r="AC373" s="270"/>
      <c r="AD373" s="269"/>
      <c r="AE373" s="270"/>
      <c r="AF373" s="269"/>
      <c r="AG373" s="781"/>
      <c r="AH373" s="269"/>
      <c r="AI373" s="269"/>
      <c r="AJ373" s="269"/>
      <c r="AK373" s="706"/>
      <c r="AM373" s="106"/>
      <c r="AN373" s="106"/>
    </row>
    <row r="374" spans="1:1026" s="902" customFormat="1" ht="38.25">
      <c r="A374" s="882">
        <v>5</v>
      </c>
      <c r="B374" s="883" t="s">
        <v>16</v>
      </c>
      <c r="C374" s="883">
        <v>6</v>
      </c>
      <c r="D374" s="883" t="s">
        <v>16</v>
      </c>
      <c r="E374" s="884" t="s">
        <v>81</v>
      </c>
      <c r="F374" s="883" t="s">
        <v>16</v>
      </c>
      <c r="G374" s="885" t="s">
        <v>81</v>
      </c>
      <c r="H374" s="886" t="s">
        <v>383</v>
      </c>
      <c r="I374" s="926">
        <v>60000</v>
      </c>
      <c r="J374" s="927">
        <v>73878.759999999995</v>
      </c>
      <c r="K374" s="926">
        <v>10000</v>
      </c>
      <c r="L374" s="928">
        <v>1586.51</v>
      </c>
      <c r="M374" s="992">
        <v>8000</v>
      </c>
      <c r="N374" s="928">
        <v>8426.11</v>
      </c>
      <c r="O374" s="993">
        <v>2000</v>
      </c>
      <c r="P374" s="994">
        <v>0</v>
      </c>
      <c r="Q374" s="993">
        <v>3000</v>
      </c>
      <c r="R374" s="928">
        <v>2475</v>
      </c>
      <c r="S374" s="995">
        <v>2000</v>
      </c>
      <c r="T374" s="995">
        <v>2000</v>
      </c>
      <c r="U374" s="995">
        <v>0</v>
      </c>
      <c r="V374" s="995">
        <v>2000</v>
      </c>
      <c r="W374" s="996">
        <v>0</v>
      </c>
      <c r="X374" s="997">
        <v>2000</v>
      </c>
      <c r="Y374" s="998">
        <v>0</v>
      </c>
      <c r="Z374" s="997">
        <v>2000</v>
      </c>
      <c r="AA374" s="999">
        <v>0</v>
      </c>
      <c r="AB374" s="997">
        <v>2000</v>
      </c>
      <c r="AC374" s="999">
        <v>0</v>
      </c>
      <c r="AD374" s="933">
        <v>3500</v>
      </c>
      <c r="AE374" s="999">
        <v>-810.32</v>
      </c>
      <c r="AF374" s="1000">
        <v>20000</v>
      </c>
      <c r="AG374" s="1001"/>
      <c r="AH374" s="1000">
        <v>20000</v>
      </c>
      <c r="AI374" s="1000">
        <v>0</v>
      </c>
      <c r="AJ374" s="1064">
        <v>1000</v>
      </c>
      <c r="AK374" s="954" t="s">
        <v>522</v>
      </c>
      <c r="AL374" s="899"/>
      <c r="AM374" s="900"/>
      <c r="AN374" s="900"/>
      <c r="AO374" s="901"/>
      <c r="AP374" s="901"/>
      <c r="AQ374" s="901"/>
      <c r="AR374" s="901"/>
      <c r="AS374" s="901"/>
      <c r="AT374" s="901"/>
      <c r="AU374" s="901"/>
      <c r="AV374" s="901"/>
      <c r="AW374" s="901"/>
      <c r="AX374" s="901"/>
      <c r="AY374" s="901"/>
      <c r="AZ374" s="901"/>
      <c r="BA374" s="901"/>
      <c r="BB374" s="901"/>
      <c r="BC374" s="901"/>
      <c r="BD374" s="901"/>
      <c r="BE374" s="901"/>
      <c r="BF374" s="901"/>
      <c r="BG374" s="901"/>
      <c r="BH374" s="901"/>
      <c r="BI374" s="901"/>
      <c r="BJ374" s="901"/>
      <c r="BK374" s="901"/>
      <c r="BL374" s="901"/>
      <c r="BM374" s="901"/>
      <c r="BN374" s="901"/>
      <c r="BO374" s="901"/>
      <c r="BP374" s="901"/>
      <c r="BQ374" s="901"/>
      <c r="BR374" s="901"/>
      <c r="BS374" s="901"/>
      <c r="BT374" s="901"/>
      <c r="BU374" s="901"/>
      <c r="BV374" s="901"/>
      <c r="BW374" s="901"/>
      <c r="BX374" s="901"/>
      <c r="BY374" s="901"/>
      <c r="BZ374" s="901"/>
      <c r="CA374" s="901"/>
      <c r="CB374" s="901"/>
      <c r="CC374" s="901"/>
      <c r="CD374" s="901"/>
      <c r="CE374" s="901"/>
      <c r="CF374" s="901"/>
      <c r="CG374" s="901"/>
      <c r="CH374" s="901"/>
      <c r="CI374" s="901"/>
      <c r="CJ374" s="901"/>
      <c r="CK374" s="901"/>
      <c r="CL374" s="901"/>
      <c r="CM374" s="901"/>
      <c r="CN374" s="901"/>
      <c r="CO374" s="901"/>
      <c r="CP374" s="901"/>
      <c r="CQ374" s="901"/>
      <c r="CR374" s="901"/>
      <c r="CS374" s="901"/>
      <c r="CT374" s="901"/>
      <c r="CU374" s="901"/>
      <c r="CV374" s="901"/>
      <c r="CW374" s="901"/>
      <c r="CX374" s="901"/>
      <c r="CY374" s="901"/>
      <c r="CZ374" s="901"/>
      <c r="DA374" s="901"/>
      <c r="DB374" s="901"/>
      <c r="DC374" s="901"/>
      <c r="DD374" s="901"/>
      <c r="DE374" s="901"/>
      <c r="DF374" s="901"/>
      <c r="DG374" s="901"/>
      <c r="DH374" s="901"/>
      <c r="DI374" s="901"/>
      <c r="DJ374" s="901"/>
      <c r="DK374" s="901"/>
      <c r="DL374" s="901"/>
      <c r="DM374" s="901"/>
      <c r="DN374" s="901"/>
      <c r="DO374" s="901"/>
      <c r="DP374" s="901"/>
      <c r="DQ374" s="901"/>
      <c r="DR374" s="901"/>
      <c r="DS374" s="901"/>
      <c r="DT374" s="901"/>
      <c r="DU374" s="901"/>
      <c r="DV374" s="901"/>
      <c r="DW374" s="901"/>
      <c r="DX374" s="901"/>
      <c r="DY374" s="901"/>
      <c r="DZ374" s="901"/>
      <c r="EA374" s="901"/>
      <c r="EB374" s="901"/>
      <c r="EC374" s="901"/>
      <c r="ED374" s="901"/>
      <c r="EE374" s="901"/>
      <c r="EF374" s="901"/>
      <c r="EG374" s="901"/>
      <c r="EH374" s="901"/>
      <c r="EI374" s="901"/>
      <c r="EJ374" s="901"/>
      <c r="EK374" s="901"/>
      <c r="EL374" s="901"/>
      <c r="EM374" s="901"/>
      <c r="EN374" s="901"/>
      <c r="EO374" s="901"/>
      <c r="EP374" s="901"/>
      <c r="EQ374" s="901"/>
      <c r="ER374" s="901"/>
      <c r="ES374" s="901"/>
      <c r="ET374" s="901"/>
      <c r="EU374" s="901"/>
      <c r="EV374" s="901"/>
      <c r="EW374" s="901"/>
      <c r="EX374" s="901"/>
      <c r="EY374" s="901"/>
      <c r="EZ374" s="901"/>
      <c r="FA374" s="901"/>
      <c r="FB374" s="901"/>
      <c r="FC374" s="901"/>
      <c r="FD374" s="901"/>
      <c r="FE374" s="901"/>
      <c r="FF374" s="901"/>
      <c r="FG374" s="901"/>
      <c r="FH374" s="901"/>
      <c r="FI374" s="901"/>
      <c r="FJ374" s="901"/>
      <c r="FK374" s="901"/>
      <c r="FL374" s="901"/>
      <c r="FM374" s="901"/>
      <c r="FN374" s="901"/>
      <c r="FO374" s="901"/>
      <c r="FP374" s="901"/>
      <c r="FQ374" s="901"/>
      <c r="FR374" s="901"/>
      <c r="FS374" s="901"/>
      <c r="FT374" s="901"/>
      <c r="FU374" s="901"/>
      <c r="FV374" s="901"/>
      <c r="FW374" s="901"/>
      <c r="FX374" s="901"/>
      <c r="FY374" s="901"/>
      <c r="FZ374" s="901"/>
      <c r="GA374" s="901"/>
      <c r="GB374" s="901"/>
      <c r="GC374" s="901"/>
      <c r="GD374" s="901"/>
      <c r="GE374" s="901"/>
      <c r="GF374" s="901"/>
      <c r="GG374" s="901"/>
      <c r="GH374" s="901"/>
      <c r="GI374" s="901"/>
      <c r="GJ374" s="901"/>
      <c r="GK374" s="901"/>
      <c r="GL374" s="901"/>
      <c r="GM374" s="901"/>
      <c r="GN374" s="901"/>
      <c r="GO374" s="901"/>
      <c r="GP374" s="901"/>
      <c r="GQ374" s="901"/>
      <c r="GR374" s="901"/>
      <c r="GS374" s="901"/>
      <c r="GT374" s="901"/>
      <c r="GU374" s="901"/>
      <c r="GV374" s="901"/>
      <c r="GW374" s="901"/>
      <c r="GX374" s="901"/>
      <c r="GY374" s="901"/>
      <c r="GZ374" s="901"/>
      <c r="HA374" s="901"/>
      <c r="HB374" s="901"/>
      <c r="HC374" s="901"/>
      <c r="HD374" s="901"/>
      <c r="HE374" s="901"/>
      <c r="HF374" s="901"/>
      <c r="HG374" s="901"/>
      <c r="HH374" s="901"/>
      <c r="HI374" s="901"/>
      <c r="HJ374" s="901"/>
      <c r="HK374" s="901"/>
      <c r="HL374" s="901"/>
      <c r="HM374" s="901"/>
      <c r="HN374" s="901"/>
      <c r="HO374" s="901"/>
      <c r="HP374" s="901"/>
      <c r="HQ374" s="901"/>
      <c r="HR374" s="901"/>
      <c r="HS374" s="901"/>
      <c r="HT374" s="901"/>
      <c r="HU374" s="901"/>
      <c r="HV374" s="901"/>
      <c r="HW374" s="901"/>
      <c r="HX374" s="901"/>
      <c r="HY374" s="901"/>
      <c r="HZ374" s="901"/>
      <c r="IA374" s="901"/>
      <c r="IB374" s="901"/>
      <c r="IC374" s="901"/>
      <c r="ID374" s="901"/>
      <c r="IE374" s="901"/>
      <c r="IF374" s="901"/>
      <c r="IG374" s="901"/>
      <c r="IH374" s="901"/>
      <c r="II374" s="901"/>
      <c r="IJ374" s="901"/>
      <c r="IK374" s="901"/>
      <c r="IL374" s="901"/>
      <c r="IM374" s="901"/>
      <c r="IN374" s="901"/>
      <c r="IO374" s="901"/>
      <c r="IP374" s="901"/>
      <c r="IQ374" s="901"/>
      <c r="IR374" s="901"/>
      <c r="IS374" s="901"/>
      <c r="IT374" s="901"/>
      <c r="IU374" s="901"/>
      <c r="IV374" s="901"/>
      <c r="IW374" s="901"/>
      <c r="IX374" s="901"/>
      <c r="IY374" s="901"/>
      <c r="IZ374" s="901"/>
      <c r="JA374" s="901"/>
      <c r="JB374" s="901"/>
      <c r="JC374" s="901"/>
      <c r="JD374" s="901"/>
      <c r="JE374" s="901"/>
      <c r="JF374" s="901"/>
      <c r="JG374" s="901"/>
      <c r="JH374" s="901"/>
      <c r="JI374" s="901"/>
      <c r="JJ374" s="901"/>
      <c r="JK374" s="901"/>
      <c r="JL374" s="901"/>
      <c r="JM374" s="901"/>
      <c r="JN374" s="901"/>
      <c r="JO374" s="901"/>
      <c r="JP374" s="901"/>
      <c r="JQ374" s="901"/>
      <c r="JR374" s="901"/>
      <c r="JS374" s="901"/>
      <c r="JT374" s="901"/>
      <c r="JU374" s="901"/>
      <c r="JV374" s="901"/>
      <c r="JW374" s="901"/>
      <c r="JX374" s="901"/>
      <c r="JY374" s="901"/>
      <c r="JZ374" s="901"/>
      <c r="KA374" s="901"/>
      <c r="KB374" s="901"/>
      <c r="KC374" s="901"/>
      <c r="KD374" s="901"/>
      <c r="KE374" s="901"/>
      <c r="KF374" s="901"/>
      <c r="KG374" s="901"/>
      <c r="KH374" s="901"/>
      <c r="KI374" s="901"/>
      <c r="KJ374" s="901"/>
      <c r="KK374" s="901"/>
      <c r="KL374" s="901"/>
      <c r="KM374" s="901"/>
      <c r="KN374" s="901"/>
      <c r="KO374" s="901"/>
      <c r="KP374" s="901"/>
      <c r="KQ374" s="901"/>
      <c r="KR374" s="901"/>
      <c r="KS374" s="901"/>
      <c r="KT374" s="901"/>
      <c r="KU374" s="901"/>
      <c r="KV374" s="901"/>
      <c r="KW374" s="901"/>
      <c r="KX374" s="901"/>
      <c r="KY374" s="901"/>
      <c r="KZ374" s="901"/>
      <c r="LA374" s="901"/>
      <c r="LB374" s="901"/>
      <c r="LC374" s="901"/>
      <c r="LD374" s="901"/>
      <c r="LE374" s="901"/>
      <c r="LF374" s="901"/>
      <c r="LG374" s="901"/>
      <c r="LH374" s="901"/>
      <c r="LI374" s="901"/>
      <c r="LJ374" s="901"/>
      <c r="LK374" s="901"/>
      <c r="LL374" s="901"/>
      <c r="LM374" s="901"/>
      <c r="LN374" s="901"/>
      <c r="LO374" s="901"/>
      <c r="LP374" s="901"/>
      <c r="LQ374" s="901"/>
      <c r="LR374" s="901"/>
      <c r="LS374" s="901"/>
      <c r="LT374" s="901"/>
      <c r="LU374" s="901"/>
      <c r="LV374" s="901"/>
      <c r="LW374" s="901"/>
      <c r="LX374" s="901"/>
      <c r="LY374" s="901"/>
      <c r="LZ374" s="901"/>
      <c r="MA374" s="901"/>
      <c r="MB374" s="901"/>
      <c r="MC374" s="901"/>
      <c r="MD374" s="901"/>
      <c r="ME374" s="901"/>
      <c r="MF374" s="901"/>
      <c r="MG374" s="901"/>
      <c r="MH374" s="901"/>
      <c r="MI374" s="901"/>
      <c r="MJ374" s="901"/>
      <c r="MK374" s="901"/>
      <c r="ML374" s="901"/>
      <c r="MM374" s="901"/>
      <c r="MN374" s="901"/>
      <c r="MO374" s="901"/>
      <c r="MP374" s="901"/>
      <c r="MQ374" s="901"/>
      <c r="MR374" s="901"/>
      <c r="MS374" s="901"/>
      <c r="MT374" s="901"/>
      <c r="MU374" s="901"/>
      <c r="MV374" s="901"/>
      <c r="MW374" s="901"/>
      <c r="MX374" s="901"/>
      <c r="MY374" s="901"/>
      <c r="MZ374" s="901"/>
      <c r="NA374" s="901"/>
      <c r="NB374" s="901"/>
      <c r="NC374" s="901"/>
      <c r="ND374" s="901"/>
      <c r="NE374" s="901"/>
      <c r="NF374" s="901"/>
      <c r="NG374" s="901"/>
      <c r="NH374" s="901"/>
      <c r="NI374" s="901"/>
      <c r="NJ374" s="901"/>
      <c r="NK374" s="901"/>
      <c r="NL374" s="901"/>
      <c r="NM374" s="901"/>
      <c r="NN374" s="901"/>
      <c r="NO374" s="901"/>
      <c r="NP374" s="901"/>
      <c r="NQ374" s="901"/>
      <c r="NR374" s="901"/>
      <c r="NS374" s="901"/>
      <c r="NT374" s="901"/>
      <c r="NU374" s="901"/>
      <c r="NV374" s="901"/>
      <c r="NW374" s="901"/>
      <c r="NX374" s="901"/>
      <c r="NY374" s="901"/>
      <c r="NZ374" s="901"/>
      <c r="OA374" s="901"/>
      <c r="OB374" s="901"/>
      <c r="OC374" s="901"/>
      <c r="OD374" s="901"/>
      <c r="OE374" s="901"/>
      <c r="OF374" s="901"/>
      <c r="OG374" s="901"/>
      <c r="OH374" s="901"/>
      <c r="OI374" s="901"/>
      <c r="OJ374" s="901"/>
      <c r="OK374" s="901"/>
      <c r="OL374" s="901"/>
      <c r="OM374" s="901"/>
      <c r="ON374" s="901"/>
      <c r="OO374" s="901"/>
      <c r="OP374" s="901"/>
      <c r="OQ374" s="901"/>
      <c r="OR374" s="901"/>
      <c r="OS374" s="901"/>
      <c r="OT374" s="901"/>
      <c r="OU374" s="901"/>
      <c r="OV374" s="901"/>
      <c r="OW374" s="901"/>
      <c r="OX374" s="901"/>
      <c r="OY374" s="901"/>
      <c r="OZ374" s="901"/>
      <c r="PA374" s="901"/>
      <c r="PB374" s="901"/>
      <c r="PC374" s="901"/>
      <c r="PD374" s="901"/>
      <c r="PE374" s="901"/>
      <c r="PF374" s="901"/>
      <c r="PG374" s="901"/>
      <c r="PH374" s="901"/>
      <c r="PI374" s="901"/>
      <c r="PJ374" s="901"/>
      <c r="PK374" s="901"/>
      <c r="PL374" s="901"/>
      <c r="PM374" s="901"/>
      <c r="PN374" s="901"/>
      <c r="PO374" s="901"/>
      <c r="PP374" s="901"/>
      <c r="PQ374" s="901"/>
      <c r="PR374" s="901"/>
      <c r="PS374" s="901"/>
      <c r="PT374" s="901"/>
      <c r="PU374" s="901"/>
      <c r="PV374" s="901"/>
      <c r="PW374" s="901"/>
      <c r="PX374" s="901"/>
      <c r="PY374" s="901"/>
      <c r="PZ374" s="901"/>
      <c r="QA374" s="901"/>
      <c r="QB374" s="901"/>
      <c r="QC374" s="901"/>
      <c r="QD374" s="901"/>
      <c r="QE374" s="901"/>
      <c r="QF374" s="901"/>
      <c r="QG374" s="901"/>
      <c r="QH374" s="901"/>
      <c r="QI374" s="901"/>
      <c r="QJ374" s="901"/>
      <c r="QK374" s="901"/>
      <c r="QL374" s="901"/>
      <c r="QM374" s="901"/>
      <c r="QN374" s="901"/>
      <c r="QO374" s="901"/>
      <c r="QP374" s="901"/>
      <c r="QQ374" s="901"/>
      <c r="QR374" s="901"/>
      <c r="QS374" s="901"/>
      <c r="QT374" s="901"/>
      <c r="QU374" s="901"/>
      <c r="QV374" s="901"/>
      <c r="QW374" s="901"/>
      <c r="QX374" s="901"/>
      <c r="QY374" s="901"/>
      <c r="QZ374" s="901"/>
      <c r="RA374" s="901"/>
      <c r="RB374" s="901"/>
      <c r="RC374" s="901"/>
      <c r="RD374" s="901"/>
      <c r="RE374" s="901"/>
      <c r="RF374" s="901"/>
      <c r="RG374" s="901"/>
      <c r="RH374" s="901"/>
      <c r="RI374" s="901"/>
      <c r="RJ374" s="901"/>
      <c r="RK374" s="901"/>
      <c r="RL374" s="901"/>
      <c r="RM374" s="901"/>
      <c r="RN374" s="901"/>
      <c r="RO374" s="901"/>
      <c r="RP374" s="901"/>
      <c r="RQ374" s="901"/>
      <c r="RR374" s="901"/>
      <c r="RS374" s="901"/>
      <c r="RT374" s="901"/>
      <c r="RU374" s="901"/>
      <c r="RV374" s="901"/>
      <c r="RW374" s="901"/>
      <c r="RX374" s="901"/>
      <c r="RY374" s="901"/>
      <c r="RZ374" s="901"/>
      <c r="SA374" s="901"/>
      <c r="SB374" s="901"/>
      <c r="SC374" s="901"/>
      <c r="SD374" s="901"/>
      <c r="SE374" s="901"/>
      <c r="SF374" s="901"/>
      <c r="SG374" s="901"/>
      <c r="SH374" s="901"/>
      <c r="SI374" s="901"/>
      <c r="SJ374" s="901"/>
      <c r="SK374" s="901"/>
      <c r="SL374" s="901"/>
      <c r="SM374" s="901"/>
      <c r="SN374" s="901"/>
      <c r="SO374" s="901"/>
      <c r="SP374" s="901"/>
      <c r="SQ374" s="901"/>
      <c r="SR374" s="901"/>
      <c r="SS374" s="901"/>
      <c r="ST374" s="901"/>
      <c r="SU374" s="901"/>
      <c r="SV374" s="901"/>
      <c r="SW374" s="901"/>
      <c r="SX374" s="901"/>
      <c r="SY374" s="901"/>
      <c r="SZ374" s="901"/>
      <c r="TA374" s="901"/>
      <c r="TB374" s="901"/>
      <c r="TC374" s="901"/>
      <c r="TD374" s="901"/>
      <c r="TE374" s="901"/>
      <c r="TF374" s="901"/>
      <c r="TG374" s="901"/>
      <c r="TH374" s="901"/>
      <c r="TI374" s="901"/>
      <c r="TJ374" s="901"/>
      <c r="TK374" s="901"/>
      <c r="TL374" s="901"/>
      <c r="TM374" s="901"/>
      <c r="TN374" s="901"/>
      <c r="TO374" s="901"/>
      <c r="TP374" s="901"/>
      <c r="TQ374" s="901"/>
      <c r="TR374" s="901"/>
      <c r="TS374" s="901"/>
      <c r="TT374" s="901"/>
      <c r="TU374" s="901"/>
      <c r="TV374" s="901"/>
      <c r="TW374" s="901"/>
      <c r="TX374" s="901"/>
      <c r="TY374" s="901"/>
      <c r="TZ374" s="901"/>
      <c r="UA374" s="901"/>
      <c r="UB374" s="901"/>
      <c r="UC374" s="901"/>
      <c r="UD374" s="901"/>
      <c r="UE374" s="901"/>
      <c r="UF374" s="901"/>
      <c r="UG374" s="901"/>
      <c r="UH374" s="901"/>
      <c r="UI374" s="901"/>
      <c r="UJ374" s="901"/>
      <c r="UK374" s="901"/>
      <c r="UL374" s="901"/>
      <c r="UM374" s="901"/>
      <c r="UN374" s="901"/>
      <c r="UO374" s="901"/>
      <c r="UP374" s="901"/>
      <c r="UQ374" s="901"/>
      <c r="UR374" s="901"/>
      <c r="US374" s="901"/>
      <c r="UT374" s="901"/>
      <c r="UU374" s="901"/>
      <c r="UV374" s="901"/>
      <c r="UW374" s="901"/>
      <c r="UX374" s="901"/>
      <c r="UY374" s="901"/>
      <c r="UZ374" s="901"/>
      <c r="VA374" s="901"/>
      <c r="VB374" s="901"/>
      <c r="VC374" s="901"/>
      <c r="VD374" s="901"/>
      <c r="VE374" s="901"/>
      <c r="VF374" s="901"/>
      <c r="VG374" s="901"/>
      <c r="VH374" s="901"/>
      <c r="VI374" s="901"/>
      <c r="VJ374" s="901"/>
      <c r="VK374" s="901"/>
      <c r="VL374" s="901"/>
      <c r="VM374" s="901"/>
      <c r="VN374" s="901"/>
      <c r="VO374" s="901"/>
      <c r="VP374" s="901"/>
      <c r="VQ374" s="901"/>
      <c r="VR374" s="901"/>
      <c r="VS374" s="901"/>
      <c r="VT374" s="901"/>
      <c r="VU374" s="901"/>
      <c r="VV374" s="901"/>
      <c r="VW374" s="901"/>
      <c r="VX374" s="901"/>
      <c r="VY374" s="901"/>
      <c r="VZ374" s="901"/>
      <c r="WA374" s="901"/>
      <c r="WB374" s="901"/>
      <c r="WC374" s="901"/>
      <c r="WD374" s="901"/>
      <c r="WE374" s="901"/>
      <c r="WF374" s="901"/>
      <c r="WG374" s="901"/>
      <c r="WH374" s="901"/>
      <c r="WI374" s="901"/>
      <c r="WJ374" s="901"/>
      <c r="WK374" s="901"/>
      <c r="WL374" s="901"/>
      <c r="WM374" s="901"/>
      <c r="WN374" s="901"/>
      <c r="WO374" s="901"/>
      <c r="WP374" s="901"/>
      <c r="WQ374" s="901"/>
      <c r="WR374" s="901"/>
      <c r="WS374" s="901"/>
      <c r="WT374" s="901"/>
      <c r="WU374" s="901"/>
      <c r="WV374" s="901"/>
      <c r="WW374" s="901"/>
      <c r="WX374" s="901"/>
      <c r="WY374" s="901"/>
      <c r="WZ374" s="901"/>
      <c r="XA374" s="901"/>
      <c r="XB374" s="901"/>
      <c r="XC374" s="901"/>
      <c r="XD374" s="901"/>
      <c r="XE374" s="901"/>
      <c r="XF374" s="901"/>
      <c r="XG374" s="901"/>
      <c r="XH374" s="901"/>
      <c r="XI374" s="901"/>
      <c r="XJ374" s="901"/>
      <c r="XK374" s="901"/>
      <c r="XL374" s="901"/>
      <c r="XM374" s="901"/>
      <c r="XN374" s="901"/>
      <c r="XO374" s="901"/>
      <c r="XP374" s="901"/>
      <c r="XQ374" s="901"/>
      <c r="XR374" s="901"/>
      <c r="XS374" s="901"/>
      <c r="XT374" s="901"/>
      <c r="XU374" s="901"/>
      <c r="XV374" s="901"/>
      <c r="XW374" s="901"/>
      <c r="XX374" s="901"/>
      <c r="XY374" s="901"/>
      <c r="XZ374" s="901"/>
      <c r="YA374" s="901"/>
      <c r="YB374" s="901"/>
      <c r="YC374" s="901"/>
      <c r="YD374" s="901"/>
      <c r="YE374" s="901"/>
      <c r="YF374" s="901"/>
      <c r="YG374" s="901"/>
      <c r="YH374" s="901"/>
      <c r="YI374" s="901"/>
      <c r="YJ374" s="901"/>
      <c r="YK374" s="901"/>
      <c r="YL374" s="901"/>
      <c r="YM374" s="901"/>
      <c r="YN374" s="901"/>
      <c r="YO374" s="901"/>
      <c r="YP374" s="901"/>
      <c r="YQ374" s="901"/>
      <c r="YR374" s="901"/>
      <c r="YS374" s="901"/>
      <c r="YT374" s="901"/>
      <c r="YU374" s="901"/>
      <c r="YV374" s="901"/>
      <c r="YW374" s="901"/>
      <c r="YX374" s="901"/>
      <c r="YY374" s="901"/>
      <c r="YZ374" s="901"/>
      <c r="ZA374" s="901"/>
      <c r="ZB374" s="901"/>
      <c r="ZC374" s="901"/>
      <c r="ZD374" s="901"/>
      <c r="ZE374" s="901"/>
      <c r="ZF374" s="901"/>
      <c r="ZG374" s="901"/>
      <c r="ZH374" s="901"/>
      <c r="ZI374" s="901"/>
      <c r="ZJ374" s="901"/>
      <c r="ZK374" s="901"/>
      <c r="ZL374" s="901"/>
      <c r="ZM374" s="901"/>
      <c r="ZN374" s="901"/>
      <c r="ZO374" s="901"/>
      <c r="ZP374" s="901"/>
      <c r="ZQ374" s="901"/>
      <c r="ZR374" s="901"/>
      <c r="ZS374" s="901"/>
      <c r="ZT374" s="901"/>
      <c r="ZU374" s="901"/>
      <c r="ZV374" s="901"/>
      <c r="ZW374" s="901"/>
      <c r="ZX374" s="901"/>
      <c r="ZY374" s="901"/>
      <c r="ZZ374" s="901"/>
      <c r="AAA374" s="901"/>
      <c r="AAB374" s="901"/>
      <c r="AAC374" s="901"/>
      <c r="AAD374" s="901"/>
      <c r="AAE374" s="901"/>
      <c r="AAF374" s="901"/>
      <c r="AAG374" s="901"/>
      <c r="AAH374" s="901"/>
      <c r="AAI374" s="901"/>
      <c r="AAJ374" s="901"/>
      <c r="AAK374" s="901"/>
      <c r="AAL374" s="901"/>
      <c r="AAM374" s="901"/>
      <c r="AAN374" s="901"/>
      <c r="AAO374" s="901"/>
      <c r="AAP374" s="901"/>
      <c r="AAQ374" s="901"/>
      <c r="AAR374" s="901"/>
      <c r="AAS374" s="901"/>
      <c r="AAT374" s="901"/>
      <c r="AAU374" s="901"/>
      <c r="AAV374" s="901"/>
      <c r="AAW374" s="901"/>
      <c r="AAX374" s="901"/>
      <c r="AAY374" s="901"/>
      <c r="AAZ374" s="901"/>
      <c r="ABA374" s="901"/>
      <c r="ABB374" s="901"/>
      <c r="ABC374" s="901"/>
      <c r="ABD374" s="901"/>
      <c r="ABE374" s="901"/>
      <c r="ABF374" s="901"/>
      <c r="ABG374" s="901"/>
      <c r="ABH374" s="901"/>
      <c r="ABI374" s="901"/>
      <c r="ABJ374" s="901"/>
      <c r="ABK374" s="901"/>
      <c r="ABL374" s="901"/>
      <c r="ABM374" s="901"/>
      <c r="ABN374" s="901"/>
      <c r="ABO374" s="901"/>
      <c r="ABP374" s="901"/>
      <c r="ABQ374" s="901"/>
      <c r="ABR374" s="901"/>
      <c r="ABS374" s="901"/>
      <c r="ABT374" s="901"/>
      <c r="ABU374" s="901"/>
      <c r="ABV374" s="901"/>
      <c r="ABW374" s="901"/>
      <c r="ABX374" s="901"/>
      <c r="ABY374" s="901"/>
      <c r="ABZ374" s="901"/>
      <c r="ACA374" s="901"/>
      <c r="ACB374" s="901"/>
      <c r="ACC374" s="901"/>
      <c r="ACD374" s="901"/>
      <c r="ACE374" s="901"/>
      <c r="ACF374" s="901"/>
      <c r="ACG374" s="901"/>
      <c r="ACH374" s="901"/>
      <c r="ACI374" s="901"/>
      <c r="ACJ374" s="901"/>
      <c r="ACK374" s="901"/>
      <c r="ACL374" s="901"/>
      <c r="ACM374" s="901"/>
      <c r="ACN374" s="901"/>
      <c r="ACO374" s="901"/>
      <c r="ACP374" s="901"/>
      <c r="ACQ374" s="901"/>
      <c r="ACR374" s="901"/>
      <c r="ACS374" s="901"/>
      <c r="ACT374" s="901"/>
      <c r="ACU374" s="901"/>
      <c r="ACV374" s="901"/>
      <c r="ACW374" s="901"/>
      <c r="ACX374" s="901"/>
      <c r="ACY374" s="901"/>
      <c r="ACZ374" s="901"/>
      <c r="ADA374" s="901"/>
      <c r="ADB374" s="901"/>
      <c r="ADC374" s="901"/>
      <c r="ADD374" s="901"/>
      <c r="ADE374" s="901"/>
      <c r="ADF374" s="901"/>
      <c r="ADG374" s="901"/>
      <c r="ADH374" s="901"/>
      <c r="ADI374" s="901"/>
      <c r="ADJ374" s="901"/>
      <c r="ADK374" s="901"/>
      <c r="ADL374" s="901"/>
      <c r="ADM374" s="901"/>
      <c r="ADN374" s="901"/>
      <c r="ADO374" s="901"/>
      <c r="ADP374" s="901"/>
      <c r="ADQ374" s="901"/>
      <c r="ADR374" s="901"/>
      <c r="ADS374" s="901"/>
      <c r="ADT374" s="901"/>
      <c r="ADU374" s="901"/>
      <c r="ADV374" s="901"/>
      <c r="ADW374" s="901"/>
      <c r="ADX374" s="901"/>
      <c r="ADY374" s="901"/>
      <c r="ADZ374" s="901"/>
      <c r="AEA374" s="901"/>
      <c r="AEB374" s="901"/>
      <c r="AEC374" s="901"/>
      <c r="AED374" s="901"/>
      <c r="AEE374" s="901"/>
      <c r="AEF374" s="901"/>
      <c r="AEG374" s="901"/>
      <c r="AEH374" s="901"/>
      <c r="AEI374" s="901"/>
      <c r="AEJ374" s="901"/>
      <c r="AEK374" s="901"/>
      <c r="AEL374" s="901"/>
      <c r="AEM374" s="901"/>
      <c r="AEN374" s="901"/>
      <c r="AEO374" s="901"/>
      <c r="AEP374" s="901"/>
      <c r="AEQ374" s="901"/>
      <c r="AER374" s="901"/>
      <c r="AES374" s="901"/>
      <c r="AET374" s="901"/>
      <c r="AEU374" s="901"/>
      <c r="AEV374" s="901"/>
      <c r="AEW374" s="901"/>
      <c r="AEX374" s="901"/>
      <c r="AEY374" s="901"/>
      <c r="AEZ374" s="901"/>
      <c r="AFA374" s="901"/>
      <c r="AFB374" s="901"/>
      <c r="AFC374" s="901"/>
      <c r="AFD374" s="901"/>
      <c r="AFE374" s="901"/>
      <c r="AFF374" s="901"/>
      <c r="AFG374" s="901"/>
      <c r="AFH374" s="901"/>
      <c r="AFI374" s="901"/>
      <c r="AFJ374" s="901"/>
      <c r="AFK374" s="901"/>
      <c r="AFL374" s="901"/>
      <c r="AFM374" s="901"/>
      <c r="AFN374" s="901"/>
      <c r="AFO374" s="901"/>
      <c r="AFP374" s="901"/>
      <c r="AFQ374" s="901"/>
      <c r="AFR374" s="901"/>
      <c r="AFS374" s="901"/>
      <c r="AFT374" s="901"/>
      <c r="AFU374" s="901"/>
      <c r="AFV374" s="901"/>
      <c r="AFW374" s="901"/>
      <c r="AFX374" s="901"/>
      <c r="AFY374" s="901"/>
      <c r="AFZ374" s="901"/>
      <c r="AGA374" s="901"/>
      <c r="AGB374" s="901"/>
      <c r="AGC374" s="901"/>
      <c r="AGD374" s="901"/>
      <c r="AGE374" s="901"/>
      <c r="AGF374" s="901"/>
      <c r="AGG374" s="901"/>
      <c r="AGH374" s="901"/>
      <c r="AGI374" s="901"/>
      <c r="AGJ374" s="901"/>
      <c r="AGK374" s="901"/>
      <c r="AGL374" s="901"/>
      <c r="AGM374" s="901"/>
      <c r="AGN374" s="901"/>
      <c r="AGO374" s="901"/>
      <c r="AGP374" s="901"/>
      <c r="AGQ374" s="901"/>
      <c r="AGR374" s="901"/>
      <c r="AGS374" s="901"/>
      <c r="AGT374" s="901"/>
      <c r="AGU374" s="901"/>
      <c r="AGV374" s="901"/>
      <c r="AGW374" s="901"/>
      <c r="AGX374" s="901"/>
      <c r="AGY374" s="901"/>
      <c r="AGZ374" s="901"/>
      <c r="AHA374" s="901"/>
      <c r="AHB374" s="901"/>
      <c r="AHC374" s="901"/>
      <c r="AHD374" s="901"/>
      <c r="AHE374" s="901"/>
      <c r="AHF374" s="901"/>
      <c r="AHG374" s="901"/>
      <c r="AHH374" s="901"/>
      <c r="AHI374" s="901"/>
      <c r="AHJ374" s="901"/>
      <c r="AHK374" s="901"/>
      <c r="AHL374" s="901"/>
      <c r="AHM374" s="901"/>
      <c r="AHN374" s="901"/>
      <c r="AHO374" s="901"/>
      <c r="AHP374" s="901"/>
      <c r="AHQ374" s="901"/>
      <c r="AHR374" s="901"/>
      <c r="AHS374" s="901"/>
      <c r="AHT374" s="901"/>
      <c r="AHU374" s="901"/>
      <c r="AHV374" s="901"/>
      <c r="AHW374" s="901"/>
      <c r="AHX374" s="901"/>
      <c r="AHY374" s="901"/>
      <c r="AHZ374" s="901"/>
      <c r="AIA374" s="901"/>
      <c r="AIB374" s="901"/>
      <c r="AIC374" s="901"/>
      <c r="AID374" s="901"/>
      <c r="AIE374" s="901"/>
      <c r="AIF374" s="901"/>
      <c r="AIG374" s="901"/>
      <c r="AIH374" s="901"/>
      <c r="AII374" s="901"/>
      <c r="AIJ374" s="901"/>
      <c r="AIK374" s="901"/>
      <c r="AIL374" s="901"/>
      <c r="AIM374" s="901"/>
      <c r="AIN374" s="901"/>
      <c r="AIO374" s="901"/>
      <c r="AIP374" s="901"/>
      <c r="AIQ374" s="901"/>
      <c r="AIR374" s="901"/>
      <c r="AIS374" s="901"/>
      <c r="AIT374" s="901"/>
      <c r="AIU374" s="901"/>
      <c r="AIV374" s="901"/>
      <c r="AIW374" s="901"/>
      <c r="AIX374" s="901"/>
      <c r="AIY374" s="901"/>
      <c r="AIZ374" s="901"/>
      <c r="AJA374" s="901"/>
      <c r="AJB374" s="901"/>
      <c r="AJC374" s="901"/>
      <c r="AJD374" s="901"/>
      <c r="AJE374" s="901"/>
      <c r="AJF374" s="901"/>
      <c r="AJG374" s="901"/>
      <c r="AJH374" s="901"/>
      <c r="AJI374" s="901"/>
      <c r="AJJ374" s="901"/>
      <c r="AJK374" s="901"/>
      <c r="AJL374" s="901"/>
      <c r="AJM374" s="901"/>
      <c r="AJN374" s="901"/>
      <c r="AJO374" s="901"/>
      <c r="AJP374" s="901"/>
      <c r="AJQ374" s="901"/>
      <c r="AJR374" s="901"/>
      <c r="AJS374" s="901"/>
      <c r="AJT374" s="901"/>
      <c r="AJU374" s="901"/>
      <c r="AJV374" s="901"/>
      <c r="AJW374" s="901"/>
      <c r="AJX374" s="901"/>
      <c r="AJY374" s="901"/>
      <c r="AJZ374" s="901"/>
      <c r="AKA374" s="901"/>
      <c r="AKB374" s="901"/>
      <c r="AKC374" s="901"/>
      <c r="AKD374" s="901"/>
      <c r="AKE374" s="901"/>
      <c r="AKF374" s="901"/>
      <c r="AKG374" s="901"/>
      <c r="AKH374" s="901"/>
      <c r="AKI374" s="901"/>
      <c r="AKJ374" s="901"/>
      <c r="AKK374" s="901"/>
      <c r="AKL374" s="901"/>
      <c r="AKM374" s="901"/>
      <c r="AKN374" s="901"/>
      <c r="AKO374" s="901"/>
      <c r="AKP374" s="901"/>
      <c r="AKQ374" s="901"/>
      <c r="AKR374" s="901"/>
      <c r="AKS374" s="901"/>
      <c r="AKT374" s="901"/>
      <c r="AKU374" s="901"/>
      <c r="AKV374" s="901"/>
      <c r="AKW374" s="901"/>
      <c r="AKX374" s="901"/>
      <c r="AKY374" s="901"/>
      <c r="AKZ374" s="901"/>
      <c r="ALA374" s="901"/>
      <c r="ALB374" s="901"/>
      <c r="ALC374" s="901"/>
      <c r="ALD374" s="901"/>
      <c r="ALE374" s="901"/>
      <c r="ALF374" s="901"/>
      <c r="ALG374" s="901"/>
      <c r="ALH374" s="901"/>
      <c r="ALI374" s="901"/>
      <c r="ALJ374" s="901"/>
      <c r="ALK374" s="901"/>
      <c r="ALL374" s="901"/>
      <c r="ALM374" s="901"/>
      <c r="ALN374" s="901"/>
      <c r="ALO374" s="901"/>
      <c r="ALP374" s="901"/>
      <c r="ALQ374" s="901"/>
      <c r="ALR374" s="901"/>
      <c r="ALS374" s="901"/>
      <c r="ALT374" s="901"/>
      <c r="ALU374" s="901"/>
      <c r="ALV374" s="901"/>
      <c r="ALW374" s="901"/>
      <c r="ALX374" s="901"/>
      <c r="ALY374" s="901"/>
      <c r="ALZ374" s="901"/>
      <c r="AMA374" s="901"/>
      <c r="AMB374" s="901"/>
      <c r="AMC374" s="901"/>
      <c r="AMD374" s="901"/>
      <c r="AME374" s="901"/>
      <c r="AMF374" s="901"/>
      <c r="AMG374" s="901"/>
      <c r="AMH374" s="901"/>
      <c r="AMI374" s="901"/>
      <c r="AMJ374" s="901"/>
      <c r="AMK374" s="901"/>
      <c r="AML374" s="901"/>
    </row>
    <row r="375" spans="1:1026" s="902" customFormat="1">
      <c r="A375" s="882">
        <v>5</v>
      </c>
      <c r="B375" s="883" t="s">
        <v>16</v>
      </c>
      <c r="C375" s="883">
        <v>6</v>
      </c>
      <c r="D375" s="883" t="s">
        <v>16</v>
      </c>
      <c r="E375" s="884" t="s">
        <v>81</v>
      </c>
      <c r="F375" s="883" t="s">
        <v>16</v>
      </c>
      <c r="G375" s="885" t="s">
        <v>84</v>
      </c>
      <c r="H375" s="886" t="s">
        <v>384</v>
      </c>
      <c r="I375" s="926">
        <v>33500</v>
      </c>
      <c r="J375" s="927">
        <v>29202.6</v>
      </c>
      <c r="K375" s="926">
        <v>28500</v>
      </c>
      <c r="L375" s="928">
        <v>29202.6</v>
      </c>
      <c r="M375" s="926">
        <v>28500</v>
      </c>
      <c r="N375" s="927">
        <v>29202.6</v>
      </c>
      <c r="O375" s="929">
        <v>29000</v>
      </c>
      <c r="P375" s="930">
        <v>0</v>
      </c>
      <c r="Q375" s="929">
        <v>29000</v>
      </c>
      <c r="R375" s="927">
        <v>14601.3</v>
      </c>
      <c r="S375" s="931">
        <v>30000</v>
      </c>
      <c r="T375" s="931">
        <v>30000</v>
      </c>
      <c r="U375" s="931">
        <v>-11033.85</v>
      </c>
      <c r="V375" s="931">
        <v>30000</v>
      </c>
      <c r="W375" s="932">
        <v>-13738.11</v>
      </c>
      <c r="X375" s="933">
        <v>35000</v>
      </c>
      <c r="Y375" s="934">
        <v>-10370.81</v>
      </c>
      <c r="Z375" s="935">
        <f>30000</f>
        <v>30000</v>
      </c>
      <c r="AA375" s="936">
        <v>-31449.040000000001</v>
      </c>
      <c r="AB375" s="935">
        <f>30000</f>
        <v>30000</v>
      </c>
      <c r="AC375" s="936">
        <v>-31449.040000000001</v>
      </c>
      <c r="AD375" s="935">
        <f>32000</f>
        <v>32000</v>
      </c>
      <c r="AE375" s="936">
        <v>-33075.11</v>
      </c>
      <c r="AF375" s="935">
        <f>32000</f>
        <v>32000</v>
      </c>
      <c r="AG375" s="937">
        <v>-20170.400000000001</v>
      </c>
      <c r="AH375" s="935">
        <f>32000</f>
        <v>32000</v>
      </c>
      <c r="AI375" s="935">
        <f>32000+1000</f>
        <v>33000</v>
      </c>
      <c r="AJ375" s="935">
        <v>33000</v>
      </c>
      <c r="AK375" s="912" t="s">
        <v>521</v>
      </c>
      <c r="AL375" s="899"/>
      <c r="AM375" s="900"/>
      <c r="AN375" s="900"/>
      <c r="AO375" s="901"/>
      <c r="AP375" s="901"/>
      <c r="AQ375" s="901"/>
      <c r="AR375" s="901"/>
      <c r="AS375" s="901"/>
      <c r="AT375" s="901"/>
      <c r="AU375" s="901"/>
      <c r="AV375" s="901"/>
      <c r="AW375" s="901"/>
      <c r="AX375" s="901"/>
      <c r="AY375" s="901"/>
      <c r="AZ375" s="901"/>
      <c r="BA375" s="901"/>
      <c r="BB375" s="901"/>
      <c r="BC375" s="901"/>
      <c r="BD375" s="901"/>
      <c r="BE375" s="901"/>
      <c r="BF375" s="901"/>
      <c r="BG375" s="901"/>
      <c r="BH375" s="901"/>
      <c r="BI375" s="901"/>
      <c r="BJ375" s="901"/>
      <c r="BK375" s="901"/>
      <c r="BL375" s="901"/>
      <c r="BM375" s="901"/>
      <c r="BN375" s="901"/>
      <c r="BO375" s="901"/>
      <c r="BP375" s="901"/>
      <c r="BQ375" s="901"/>
      <c r="BR375" s="901"/>
      <c r="BS375" s="901"/>
      <c r="BT375" s="901"/>
      <c r="BU375" s="901"/>
      <c r="BV375" s="901"/>
      <c r="BW375" s="901"/>
      <c r="BX375" s="901"/>
      <c r="BY375" s="901"/>
      <c r="BZ375" s="901"/>
      <c r="CA375" s="901"/>
      <c r="CB375" s="901"/>
      <c r="CC375" s="901"/>
      <c r="CD375" s="901"/>
      <c r="CE375" s="901"/>
      <c r="CF375" s="901"/>
      <c r="CG375" s="901"/>
      <c r="CH375" s="901"/>
      <c r="CI375" s="901"/>
      <c r="CJ375" s="901"/>
      <c r="CK375" s="901"/>
      <c r="CL375" s="901"/>
      <c r="CM375" s="901"/>
      <c r="CN375" s="901"/>
      <c r="CO375" s="901"/>
      <c r="CP375" s="901"/>
      <c r="CQ375" s="901"/>
      <c r="CR375" s="901"/>
      <c r="CS375" s="901"/>
      <c r="CT375" s="901"/>
      <c r="CU375" s="901"/>
      <c r="CV375" s="901"/>
      <c r="CW375" s="901"/>
      <c r="CX375" s="901"/>
      <c r="CY375" s="901"/>
      <c r="CZ375" s="901"/>
      <c r="DA375" s="901"/>
      <c r="DB375" s="901"/>
      <c r="DC375" s="901"/>
      <c r="DD375" s="901"/>
      <c r="DE375" s="901"/>
      <c r="DF375" s="901"/>
      <c r="DG375" s="901"/>
      <c r="DH375" s="901"/>
      <c r="DI375" s="901"/>
      <c r="DJ375" s="901"/>
      <c r="DK375" s="901"/>
      <c r="DL375" s="901"/>
      <c r="DM375" s="901"/>
      <c r="DN375" s="901"/>
      <c r="DO375" s="901"/>
      <c r="DP375" s="901"/>
      <c r="DQ375" s="901"/>
      <c r="DR375" s="901"/>
      <c r="DS375" s="901"/>
      <c r="DT375" s="901"/>
      <c r="DU375" s="901"/>
      <c r="DV375" s="901"/>
      <c r="DW375" s="901"/>
      <c r="DX375" s="901"/>
      <c r="DY375" s="901"/>
      <c r="DZ375" s="901"/>
      <c r="EA375" s="901"/>
      <c r="EB375" s="901"/>
      <c r="EC375" s="901"/>
      <c r="ED375" s="901"/>
      <c r="EE375" s="901"/>
      <c r="EF375" s="901"/>
      <c r="EG375" s="901"/>
      <c r="EH375" s="901"/>
      <c r="EI375" s="901"/>
      <c r="EJ375" s="901"/>
      <c r="EK375" s="901"/>
      <c r="EL375" s="901"/>
      <c r="EM375" s="901"/>
      <c r="EN375" s="901"/>
      <c r="EO375" s="901"/>
      <c r="EP375" s="901"/>
      <c r="EQ375" s="901"/>
      <c r="ER375" s="901"/>
      <c r="ES375" s="901"/>
      <c r="ET375" s="901"/>
      <c r="EU375" s="901"/>
      <c r="EV375" s="901"/>
      <c r="EW375" s="901"/>
      <c r="EX375" s="901"/>
      <c r="EY375" s="901"/>
      <c r="EZ375" s="901"/>
      <c r="FA375" s="901"/>
      <c r="FB375" s="901"/>
      <c r="FC375" s="901"/>
      <c r="FD375" s="901"/>
      <c r="FE375" s="901"/>
      <c r="FF375" s="901"/>
      <c r="FG375" s="901"/>
      <c r="FH375" s="901"/>
      <c r="FI375" s="901"/>
      <c r="FJ375" s="901"/>
      <c r="FK375" s="901"/>
      <c r="FL375" s="901"/>
      <c r="FM375" s="901"/>
      <c r="FN375" s="901"/>
      <c r="FO375" s="901"/>
      <c r="FP375" s="901"/>
      <c r="FQ375" s="901"/>
      <c r="FR375" s="901"/>
      <c r="FS375" s="901"/>
      <c r="FT375" s="901"/>
      <c r="FU375" s="901"/>
      <c r="FV375" s="901"/>
      <c r="FW375" s="901"/>
      <c r="FX375" s="901"/>
      <c r="FY375" s="901"/>
      <c r="FZ375" s="901"/>
      <c r="GA375" s="901"/>
      <c r="GB375" s="901"/>
      <c r="GC375" s="901"/>
      <c r="GD375" s="901"/>
      <c r="GE375" s="901"/>
      <c r="GF375" s="901"/>
      <c r="GG375" s="901"/>
      <c r="GH375" s="901"/>
      <c r="GI375" s="901"/>
      <c r="GJ375" s="901"/>
      <c r="GK375" s="901"/>
      <c r="GL375" s="901"/>
      <c r="GM375" s="901"/>
      <c r="GN375" s="901"/>
      <c r="GO375" s="901"/>
      <c r="GP375" s="901"/>
      <c r="GQ375" s="901"/>
      <c r="GR375" s="901"/>
      <c r="GS375" s="901"/>
      <c r="GT375" s="901"/>
      <c r="GU375" s="901"/>
      <c r="GV375" s="901"/>
      <c r="GW375" s="901"/>
      <c r="GX375" s="901"/>
      <c r="GY375" s="901"/>
      <c r="GZ375" s="901"/>
      <c r="HA375" s="901"/>
      <c r="HB375" s="901"/>
      <c r="HC375" s="901"/>
      <c r="HD375" s="901"/>
      <c r="HE375" s="901"/>
      <c r="HF375" s="901"/>
      <c r="HG375" s="901"/>
      <c r="HH375" s="901"/>
      <c r="HI375" s="901"/>
      <c r="HJ375" s="901"/>
      <c r="HK375" s="901"/>
      <c r="HL375" s="901"/>
      <c r="HM375" s="901"/>
      <c r="HN375" s="901"/>
      <c r="HO375" s="901"/>
      <c r="HP375" s="901"/>
      <c r="HQ375" s="901"/>
      <c r="HR375" s="901"/>
      <c r="HS375" s="901"/>
      <c r="HT375" s="901"/>
      <c r="HU375" s="901"/>
      <c r="HV375" s="901"/>
      <c r="HW375" s="901"/>
      <c r="HX375" s="901"/>
      <c r="HY375" s="901"/>
      <c r="HZ375" s="901"/>
      <c r="IA375" s="901"/>
      <c r="IB375" s="901"/>
      <c r="IC375" s="901"/>
      <c r="ID375" s="901"/>
      <c r="IE375" s="901"/>
      <c r="IF375" s="901"/>
      <c r="IG375" s="901"/>
      <c r="IH375" s="901"/>
      <c r="II375" s="901"/>
      <c r="IJ375" s="901"/>
      <c r="IK375" s="901"/>
      <c r="IL375" s="901"/>
      <c r="IM375" s="901"/>
      <c r="IN375" s="901"/>
      <c r="IO375" s="901"/>
      <c r="IP375" s="901"/>
      <c r="IQ375" s="901"/>
      <c r="IR375" s="901"/>
      <c r="IS375" s="901"/>
      <c r="IT375" s="901"/>
      <c r="IU375" s="901"/>
      <c r="IV375" s="901"/>
      <c r="IW375" s="901"/>
      <c r="IX375" s="901"/>
      <c r="IY375" s="901"/>
      <c r="IZ375" s="901"/>
      <c r="JA375" s="901"/>
      <c r="JB375" s="901"/>
      <c r="JC375" s="901"/>
      <c r="JD375" s="901"/>
      <c r="JE375" s="901"/>
      <c r="JF375" s="901"/>
      <c r="JG375" s="901"/>
      <c r="JH375" s="901"/>
      <c r="JI375" s="901"/>
      <c r="JJ375" s="901"/>
      <c r="JK375" s="901"/>
      <c r="JL375" s="901"/>
      <c r="JM375" s="901"/>
      <c r="JN375" s="901"/>
      <c r="JO375" s="901"/>
      <c r="JP375" s="901"/>
      <c r="JQ375" s="901"/>
      <c r="JR375" s="901"/>
      <c r="JS375" s="901"/>
      <c r="JT375" s="901"/>
      <c r="JU375" s="901"/>
      <c r="JV375" s="901"/>
      <c r="JW375" s="901"/>
      <c r="JX375" s="901"/>
      <c r="JY375" s="901"/>
      <c r="JZ375" s="901"/>
      <c r="KA375" s="901"/>
      <c r="KB375" s="901"/>
      <c r="KC375" s="901"/>
      <c r="KD375" s="901"/>
      <c r="KE375" s="901"/>
      <c r="KF375" s="901"/>
      <c r="KG375" s="901"/>
      <c r="KH375" s="901"/>
      <c r="KI375" s="901"/>
      <c r="KJ375" s="901"/>
      <c r="KK375" s="901"/>
      <c r="KL375" s="901"/>
      <c r="KM375" s="901"/>
      <c r="KN375" s="901"/>
      <c r="KO375" s="901"/>
      <c r="KP375" s="901"/>
      <c r="KQ375" s="901"/>
      <c r="KR375" s="901"/>
      <c r="KS375" s="901"/>
      <c r="KT375" s="901"/>
      <c r="KU375" s="901"/>
      <c r="KV375" s="901"/>
      <c r="KW375" s="901"/>
      <c r="KX375" s="901"/>
      <c r="KY375" s="901"/>
      <c r="KZ375" s="901"/>
      <c r="LA375" s="901"/>
      <c r="LB375" s="901"/>
      <c r="LC375" s="901"/>
      <c r="LD375" s="901"/>
      <c r="LE375" s="901"/>
      <c r="LF375" s="901"/>
      <c r="LG375" s="901"/>
      <c r="LH375" s="901"/>
      <c r="LI375" s="901"/>
      <c r="LJ375" s="901"/>
      <c r="LK375" s="901"/>
      <c r="LL375" s="901"/>
      <c r="LM375" s="901"/>
      <c r="LN375" s="901"/>
      <c r="LO375" s="901"/>
      <c r="LP375" s="901"/>
      <c r="LQ375" s="901"/>
      <c r="LR375" s="901"/>
      <c r="LS375" s="901"/>
      <c r="LT375" s="901"/>
      <c r="LU375" s="901"/>
      <c r="LV375" s="901"/>
      <c r="LW375" s="901"/>
      <c r="LX375" s="901"/>
      <c r="LY375" s="901"/>
      <c r="LZ375" s="901"/>
      <c r="MA375" s="901"/>
      <c r="MB375" s="901"/>
      <c r="MC375" s="901"/>
      <c r="MD375" s="901"/>
      <c r="ME375" s="901"/>
      <c r="MF375" s="901"/>
      <c r="MG375" s="901"/>
      <c r="MH375" s="901"/>
      <c r="MI375" s="901"/>
      <c r="MJ375" s="901"/>
      <c r="MK375" s="901"/>
      <c r="ML375" s="901"/>
      <c r="MM375" s="901"/>
      <c r="MN375" s="901"/>
      <c r="MO375" s="901"/>
      <c r="MP375" s="901"/>
      <c r="MQ375" s="901"/>
      <c r="MR375" s="901"/>
      <c r="MS375" s="901"/>
      <c r="MT375" s="901"/>
      <c r="MU375" s="901"/>
      <c r="MV375" s="901"/>
      <c r="MW375" s="901"/>
      <c r="MX375" s="901"/>
      <c r="MY375" s="901"/>
      <c r="MZ375" s="901"/>
      <c r="NA375" s="901"/>
      <c r="NB375" s="901"/>
      <c r="NC375" s="901"/>
      <c r="ND375" s="901"/>
      <c r="NE375" s="901"/>
      <c r="NF375" s="901"/>
      <c r="NG375" s="901"/>
      <c r="NH375" s="901"/>
      <c r="NI375" s="901"/>
      <c r="NJ375" s="901"/>
      <c r="NK375" s="901"/>
      <c r="NL375" s="901"/>
      <c r="NM375" s="901"/>
      <c r="NN375" s="901"/>
      <c r="NO375" s="901"/>
      <c r="NP375" s="901"/>
      <c r="NQ375" s="901"/>
      <c r="NR375" s="901"/>
      <c r="NS375" s="901"/>
      <c r="NT375" s="901"/>
      <c r="NU375" s="901"/>
      <c r="NV375" s="901"/>
      <c r="NW375" s="901"/>
      <c r="NX375" s="901"/>
      <c r="NY375" s="901"/>
      <c r="NZ375" s="901"/>
      <c r="OA375" s="901"/>
      <c r="OB375" s="901"/>
      <c r="OC375" s="901"/>
      <c r="OD375" s="901"/>
      <c r="OE375" s="901"/>
      <c r="OF375" s="901"/>
      <c r="OG375" s="901"/>
      <c r="OH375" s="901"/>
      <c r="OI375" s="901"/>
      <c r="OJ375" s="901"/>
      <c r="OK375" s="901"/>
      <c r="OL375" s="901"/>
      <c r="OM375" s="901"/>
      <c r="ON375" s="901"/>
      <c r="OO375" s="901"/>
      <c r="OP375" s="901"/>
      <c r="OQ375" s="901"/>
      <c r="OR375" s="901"/>
      <c r="OS375" s="901"/>
      <c r="OT375" s="901"/>
      <c r="OU375" s="901"/>
      <c r="OV375" s="901"/>
      <c r="OW375" s="901"/>
      <c r="OX375" s="901"/>
      <c r="OY375" s="901"/>
      <c r="OZ375" s="901"/>
      <c r="PA375" s="901"/>
      <c r="PB375" s="901"/>
      <c r="PC375" s="901"/>
      <c r="PD375" s="901"/>
      <c r="PE375" s="901"/>
      <c r="PF375" s="901"/>
      <c r="PG375" s="901"/>
      <c r="PH375" s="901"/>
      <c r="PI375" s="901"/>
      <c r="PJ375" s="901"/>
      <c r="PK375" s="901"/>
      <c r="PL375" s="901"/>
      <c r="PM375" s="901"/>
      <c r="PN375" s="901"/>
      <c r="PO375" s="901"/>
      <c r="PP375" s="901"/>
      <c r="PQ375" s="901"/>
      <c r="PR375" s="901"/>
      <c r="PS375" s="901"/>
      <c r="PT375" s="901"/>
      <c r="PU375" s="901"/>
      <c r="PV375" s="901"/>
      <c r="PW375" s="901"/>
      <c r="PX375" s="901"/>
      <c r="PY375" s="901"/>
      <c r="PZ375" s="901"/>
      <c r="QA375" s="901"/>
      <c r="QB375" s="901"/>
      <c r="QC375" s="901"/>
      <c r="QD375" s="901"/>
      <c r="QE375" s="901"/>
      <c r="QF375" s="901"/>
      <c r="QG375" s="901"/>
      <c r="QH375" s="901"/>
      <c r="QI375" s="901"/>
      <c r="QJ375" s="901"/>
      <c r="QK375" s="901"/>
      <c r="QL375" s="901"/>
      <c r="QM375" s="901"/>
      <c r="QN375" s="901"/>
      <c r="QO375" s="901"/>
      <c r="QP375" s="901"/>
      <c r="QQ375" s="901"/>
      <c r="QR375" s="901"/>
      <c r="QS375" s="901"/>
      <c r="QT375" s="901"/>
      <c r="QU375" s="901"/>
      <c r="QV375" s="901"/>
      <c r="QW375" s="901"/>
      <c r="QX375" s="901"/>
      <c r="QY375" s="901"/>
      <c r="QZ375" s="901"/>
      <c r="RA375" s="901"/>
      <c r="RB375" s="901"/>
      <c r="RC375" s="901"/>
      <c r="RD375" s="901"/>
      <c r="RE375" s="901"/>
      <c r="RF375" s="901"/>
      <c r="RG375" s="901"/>
      <c r="RH375" s="901"/>
      <c r="RI375" s="901"/>
      <c r="RJ375" s="901"/>
      <c r="RK375" s="901"/>
      <c r="RL375" s="901"/>
      <c r="RM375" s="901"/>
      <c r="RN375" s="901"/>
      <c r="RO375" s="901"/>
      <c r="RP375" s="901"/>
      <c r="RQ375" s="901"/>
      <c r="RR375" s="901"/>
      <c r="RS375" s="901"/>
      <c r="RT375" s="901"/>
      <c r="RU375" s="901"/>
      <c r="RV375" s="901"/>
      <c r="RW375" s="901"/>
      <c r="RX375" s="901"/>
      <c r="RY375" s="901"/>
      <c r="RZ375" s="901"/>
      <c r="SA375" s="901"/>
      <c r="SB375" s="901"/>
      <c r="SC375" s="901"/>
      <c r="SD375" s="901"/>
      <c r="SE375" s="901"/>
      <c r="SF375" s="901"/>
      <c r="SG375" s="901"/>
      <c r="SH375" s="901"/>
      <c r="SI375" s="901"/>
      <c r="SJ375" s="901"/>
      <c r="SK375" s="901"/>
      <c r="SL375" s="901"/>
      <c r="SM375" s="901"/>
      <c r="SN375" s="901"/>
      <c r="SO375" s="901"/>
      <c r="SP375" s="901"/>
      <c r="SQ375" s="901"/>
      <c r="SR375" s="901"/>
      <c r="SS375" s="901"/>
      <c r="ST375" s="901"/>
      <c r="SU375" s="901"/>
      <c r="SV375" s="901"/>
      <c r="SW375" s="901"/>
      <c r="SX375" s="901"/>
      <c r="SY375" s="901"/>
      <c r="SZ375" s="901"/>
      <c r="TA375" s="901"/>
      <c r="TB375" s="901"/>
      <c r="TC375" s="901"/>
      <c r="TD375" s="901"/>
      <c r="TE375" s="901"/>
      <c r="TF375" s="901"/>
      <c r="TG375" s="901"/>
      <c r="TH375" s="901"/>
      <c r="TI375" s="901"/>
      <c r="TJ375" s="901"/>
      <c r="TK375" s="901"/>
      <c r="TL375" s="901"/>
      <c r="TM375" s="901"/>
      <c r="TN375" s="901"/>
      <c r="TO375" s="901"/>
      <c r="TP375" s="901"/>
      <c r="TQ375" s="901"/>
      <c r="TR375" s="901"/>
      <c r="TS375" s="901"/>
      <c r="TT375" s="901"/>
      <c r="TU375" s="901"/>
      <c r="TV375" s="901"/>
      <c r="TW375" s="901"/>
      <c r="TX375" s="901"/>
      <c r="TY375" s="901"/>
      <c r="TZ375" s="901"/>
      <c r="UA375" s="901"/>
      <c r="UB375" s="901"/>
      <c r="UC375" s="901"/>
      <c r="UD375" s="901"/>
      <c r="UE375" s="901"/>
      <c r="UF375" s="901"/>
      <c r="UG375" s="901"/>
      <c r="UH375" s="901"/>
      <c r="UI375" s="901"/>
      <c r="UJ375" s="901"/>
      <c r="UK375" s="901"/>
      <c r="UL375" s="901"/>
      <c r="UM375" s="901"/>
      <c r="UN375" s="901"/>
      <c r="UO375" s="901"/>
      <c r="UP375" s="901"/>
      <c r="UQ375" s="901"/>
      <c r="UR375" s="901"/>
      <c r="US375" s="901"/>
      <c r="UT375" s="901"/>
      <c r="UU375" s="901"/>
      <c r="UV375" s="901"/>
      <c r="UW375" s="901"/>
      <c r="UX375" s="901"/>
      <c r="UY375" s="901"/>
      <c r="UZ375" s="901"/>
      <c r="VA375" s="901"/>
      <c r="VB375" s="901"/>
      <c r="VC375" s="901"/>
      <c r="VD375" s="901"/>
      <c r="VE375" s="901"/>
      <c r="VF375" s="901"/>
      <c r="VG375" s="901"/>
      <c r="VH375" s="901"/>
      <c r="VI375" s="901"/>
      <c r="VJ375" s="901"/>
      <c r="VK375" s="901"/>
      <c r="VL375" s="901"/>
      <c r="VM375" s="901"/>
      <c r="VN375" s="901"/>
      <c r="VO375" s="901"/>
      <c r="VP375" s="901"/>
      <c r="VQ375" s="901"/>
      <c r="VR375" s="901"/>
      <c r="VS375" s="901"/>
      <c r="VT375" s="901"/>
      <c r="VU375" s="901"/>
      <c r="VV375" s="901"/>
      <c r="VW375" s="901"/>
      <c r="VX375" s="901"/>
      <c r="VY375" s="901"/>
      <c r="VZ375" s="901"/>
      <c r="WA375" s="901"/>
      <c r="WB375" s="901"/>
      <c r="WC375" s="901"/>
      <c r="WD375" s="901"/>
      <c r="WE375" s="901"/>
      <c r="WF375" s="901"/>
      <c r="WG375" s="901"/>
      <c r="WH375" s="901"/>
      <c r="WI375" s="901"/>
      <c r="WJ375" s="901"/>
      <c r="WK375" s="901"/>
      <c r="WL375" s="901"/>
      <c r="WM375" s="901"/>
      <c r="WN375" s="901"/>
      <c r="WO375" s="901"/>
      <c r="WP375" s="901"/>
      <c r="WQ375" s="901"/>
      <c r="WR375" s="901"/>
      <c r="WS375" s="901"/>
      <c r="WT375" s="901"/>
      <c r="WU375" s="901"/>
      <c r="WV375" s="901"/>
      <c r="WW375" s="901"/>
      <c r="WX375" s="901"/>
      <c r="WY375" s="901"/>
      <c r="WZ375" s="901"/>
      <c r="XA375" s="901"/>
      <c r="XB375" s="901"/>
      <c r="XC375" s="901"/>
      <c r="XD375" s="901"/>
      <c r="XE375" s="901"/>
      <c r="XF375" s="901"/>
      <c r="XG375" s="901"/>
      <c r="XH375" s="901"/>
      <c r="XI375" s="901"/>
      <c r="XJ375" s="901"/>
      <c r="XK375" s="901"/>
      <c r="XL375" s="901"/>
      <c r="XM375" s="901"/>
      <c r="XN375" s="901"/>
      <c r="XO375" s="901"/>
      <c r="XP375" s="901"/>
      <c r="XQ375" s="901"/>
      <c r="XR375" s="901"/>
      <c r="XS375" s="901"/>
      <c r="XT375" s="901"/>
      <c r="XU375" s="901"/>
      <c r="XV375" s="901"/>
      <c r="XW375" s="901"/>
      <c r="XX375" s="901"/>
      <c r="XY375" s="901"/>
      <c r="XZ375" s="901"/>
      <c r="YA375" s="901"/>
      <c r="YB375" s="901"/>
      <c r="YC375" s="901"/>
      <c r="YD375" s="901"/>
      <c r="YE375" s="901"/>
      <c r="YF375" s="901"/>
      <c r="YG375" s="901"/>
      <c r="YH375" s="901"/>
      <c r="YI375" s="901"/>
      <c r="YJ375" s="901"/>
      <c r="YK375" s="901"/>
      <c r="YL375" s="901"/>
      <c r="YM375" s="901"/>
      <c r="YN375" s="901"/>
      <c r="YO375" s="901"/>
      <c r="YP375" s="901"/>
      <c r="YQ375" s="901"/>
      <c r="YR375" s="901"/>
      <c r="YS375" s="901"/>
      <c r="YT375" s="901"/>
      <c r="YU375" s="901"/>
      <c r="YV375" s="901"/>
      <c r="YW375" s="901"/>
      <c r="YX375" s="901"/>
      <c r="YY375" s="901"/>
      <c r="YZ375" s="901"/>
      <c r="ZA375" s="901"/>
      <c r="ZB375" s="901"/>
      <c r="ZC375" s="901"/>
      <c r="ZD375" s="901"/>
      <c r="ZE375" s="901"/>
      <c r="ZF375" s="901"/>
      <c r="ZG375" s="901"/>
      <c r="ZH375" s="901"/>
      <c r="ZI375" s="901"/>
      <c r="ZJ375" s="901"/>
      <c r="ZK375" s="901"/>
      <c r="ZL375" s="901"/>
      <c r="ZM375" s="901"/>
      <c r="ZN375" s="901"/>
      <c r="ZO375" s="901"/>
      <c r="ZP375" s="901"/>
      <c r="ZQ375" s="901"/>
      <c r="ZR375" s="901"/>
      <c r="ZS375" s="901"/>
      <c r="ZT375" s="901"/>
      <c r="ZU375" s="901"/>
      <c r="ZV375" s="901"/>
      <c r="ZW375" s="901"/>
      <c r="ZX375" s="901"/>
      <c r="ZY375" s="901"/>
      <c r="ZZ375" s="901"/>
      <c r="AAA375" s="901"/>
      <c r="AAB375" s="901"/>
      <c r="AAC375" s="901"/>
      <c r="AAD375" s="901"/>
      <c r="AAE375" s="901"/>
      <c r="AAF375" s="901"/>
      <c r="AAG375" s="901"/>
      <c r="AAH375" s="901"/>
      <c r="AAI375" s="901"/>
      <c r="AAJ375" s="901"/>
      <c r="AAK375" s="901"/>
      <c r="AAL375" s="901"/>
      <c r="AAM375" s="901"/>
      <c r="AAN375" s="901"/>
      <c r="AAO375" s="901"/>
      <c r="AAP375" s="901"/>
      <c r="AAQ375" s="901"/>
      <c r="AAR375" s="901"/>
      <c r="AAS375" s="901"/>
      <c r="AAT375" s="901"/>
      <c r="AAU375" s="901"/>
      <c r="AAV375" s="901"/>
      <c r="AAW375" s="901"/>
      <c r="AAX375" s="901"/>
      <c r="AAY375" s="901"/>
      <c r="AAZ375" s="901"/>
      <c r="ABA375" s="901"/>
      <c r="ABB375" s="901"/>
      <c r="ABC375" s="901"/>
      <c r="ABD375" s="901"/>
      <c r="ABE375" s="901"/>
      <c r="ABF375" s="901"/>
      <c r="ABG375" s="901"/>
      <c r="ABH375" s="901"/>
      <c r="ABI375" s="901"/>
      <c r="ABJ375" s="901"/>
      <c r="ABK375" s="901"/>
      <c r="ABL375" s="901"/>
      <c r="ABM375" s="901"/>
      <c r="ABN375" s="901"/>
      <c r="ABO375" s="901"/>
      <c r="ABP375" s="901"/>
      <c r="ABQ375" s="901"/>
      <c r="ABR375" s="901"/>
      <c r="ABS375" s="901"/>
      <c r="ABT375" s="901"/>
      <c r="ABU375" s="901"/>
      <c r="ABV375" s="901"/>
      <c r="ABW375" s="901"/>
      <c r="ABX375" s="901"/>
      <c r="ABY375" s="901"/>
      <c r="ABZ375" s="901"/>
      <c r="ACA375" s="901"/>
      <c r="ACB375" s="901"/>
      <c r="ACC375" s="901"/>
      <c r="ACD375" s="901"/>
      <c r="ACE375" s="901"/>
      <c r="ACF375" s="901"/>
      <c r="ACG375" s="901"/>
      <c r="ACH375" s="901"/>
      <c r="ACI375" s="901"/>
      <c r="ACJ375" s="901"/>
      <c r="ACK375" s="901"/>
      <c r="ACL375" s="901"/>
      <c r="ACM375" s="901"/>
      <c r="ACN375" s="901"/>
      <c r="ACO375" s="901"/>
      <c r="ACP375" s="901"/>
      <c r="ACQ375" s="901"/>
      <c r="ACR375" s="901"/>
      <c r="ACS375" s="901"/>
      <c r="ACT375" s="901"/>
      <c r="ACU375" s="901"/>
      <c r="ACV375" s="901"/>
      <c r="ACW375" s="901"/>
      <c r="ACX375" s="901"/>
      <c r="ACY375" s="901"/>
      <c r="ACZ375" s="901"/>
      <c r="ADA375" s="901"/>
      <c r="ADB375" s="901"/>
      <c r="ADC375" s="901"/>
      <c r="ADD375" s="901"/>
      <c r="ADE375" s="901"/>
      <c r="ADF375" s="901"/>
      <c r="ADG375" s="901"/>
      <c r="ADH375" s="901"/>
      <c r="ADI375" s="901"/>
      <c r="ADJ375" s="901"/>
      <c r="ADK375" s="901"/>
      <c r="ADL375" s="901"/>
      <c r="ADM375" s="901"/>
      <c r="ADN375" s="901"/>
      <c r="ADO375" s="901"/>
      <c r="ADP375" s="901"/>
      <c r="ADQ375" s="901"/>
      <c r="ADR375" s="901"/>
      <c r="ADS375" s="901"/>
      <c r="ADT375" s="901"/>
      <c r="ADU375" s="901"/>
      <c r="ADV375" s="901"/>
      <c r="ADW375" s="901"/>
      <c r="ADX375" s="901"/>
      <c r="ADY375" s="901"/>
      <c r="ADZ375" s="901"/>
      <c r="AEA375" s="901"/>
      <c r="AEB375" s="901"/>
      <c r="AEC375" s="901"/>
      <c r="AED375" s="901"/>
      <c r="AEE375" s="901"/>
      <c r="AEF375" s="901"/>
      <c r="AEG375" s="901"/>
      <c r="AEH375" s="901"/>
      <c r="AEI375" s="901"/>
      <c r="AEJ375" s="901"/>
      <c r="AEK375" s="901"/>
      <c r="AEL375" s="901"/>
      <c r="AEM375" s="901"/>
      <c r="AEN375" s="901"/>
      <c r="AEO375" s="901"/>
      <c r="AEP375" s="901"/>
      <c r="AEQ375" s="901"/>
      <c r="AER375" s="901"/>
      <c r="AES375" s="901"/>
      <c r="AET375" s="901"/>
      <c r="AEU375" s="901"/>
      <c r="AEV375" s="901"/>
      <c r="AEW375" s="901"/>
      <c r="AEX375" s="901"/>
      <c r="AEY375" s="901"/>
      <c r="AEZ375" s="901"/>
      <c r="AFA375" s="901"/>
      <c r="AFB375" s="901"/>
      <c r="AFC375" s="901"/>
      <c r="AFD375" s="901"/>
      <c r="AFE375" s="901"/>
      <c r="AFF375" s="901"/>
      <c r="AFG375" s="901"/>
      <c r="AFH375" s="901"/>
      <c r="AFI375" s="901"/>
      <c r="AFJ375" s="901"/>
      <c r="AFK375" s="901"/>
      <c r="AFL375" s="901"/>
      <c r="AFM375" s="901"/>
      <c r="AFN375" s="901"/>
      <c r="AFO375" s="901"/>
      <c r="AFP375" s="901"/>
      <c r="AFQ375" s="901"/>
      <c r="AFR375" s="901"/>
      <c r="AFS375" s="901"/>
      <c r="AFT375" s="901"/>
      <c r="AFU375" s="901"/>
      <c r="AFV375" s="901"/>
      <c r="AFW375" s="901"/>
      <c r="AFX375" s="901"/>
      <c r="AFY375" s="901"/>
      <c r="AFZ375" s="901"/>
      <c r="AGA375" s="901"/>
      <c r="AGB375" s="901"/>
      <c r="AGC375" s="901"/>
      <c r="AGD375" s="901"/>
      <c r="AGE375" s="901"/>
      <c r="AGF375" s="901"/>
      <c r="AGG375" s="901"/>
      <c r="AGH375" s="901"/>
      <c r="AGI375" s="901"/>
      <c r="AGJ375" s="901"/>
      <c r="AGK375" s="901"/>
      <c r="AGL375" s="901"/>
      <c r="AGM375" s="901"/>
      <c r="AGN375" s="901"/>
      <c r="AGO375" s="901"/>
      <c r="AGP375" s="901"/>
      <c r="AGQ375" s="901"/>
      <c r="AGR375" s="901"/>
      <c r="AGS375" s="901"/>
      <c r="AGT375" s="901"/>
      <c r="AGU375" s="901"/>
      <c r="AGV375" s="901"/>
      <c r="AGW375" s="901"/>
      <c r="AGX375" s="901"/>
      <c r="AGY375" s="901"/>
      <c r="AGZ375" s="901"/>
      <c r="AHA375" s="901"/>
      <c r="AHB375" s="901"/>
      <c r="AHC375" s="901"/>
      <c r="AHD375" s="901"/>
      <c r="AHE375" s="901"/>
      <c r="AHF375" s="901"/>
      <c r="AHG375" s="901"/>
      <c r="AHH375" s="901"/>
      <c r="AHI375" s="901"/>
      <c r="AHJ375" s="901"/>
      <c r="AHK375" s="901"/>
      <c r="AHL375" s="901"/>
      <c r="AHM375" s="901"/>
      <c r="AHN375" s="901"/>
      <c r="AHO375" s="901"/>
      <c r="AHP375" s="901"/>
      <c r="AHQ375" s="901"/>
      <c r="AHR375" s="901"/>
      <c r="AHS375" s="901"/>
      <c r="AHT375" s="901"/>
      <c r="AHU375" s="901"/>
      <c r="AHV375" s="901"/>
      <c r="AHW375" s="901"/>
      <c r="AHX375" s="901"/>
      <c r="AHY375" s="901"/>
      <c r="AHZ375" s="901"/>
      <c r="AIA375" s="901"/>
      <c r="AIB375" s="901"/>
      <c r="AIC375" s="901"/>
      <c r="AID375" s="901"/>
      <c r="AIE375" s="901"/>
      <c r="AIF375" s="901"/>
      <c r="AIG375" s="901"/>
      <c r="AIH375" s="901"/>
      <c r="AII375" s="901"/>
      <c r="AIJ375" s="901"/>
      <c r="AIK375" s="901"/>
      <c r="AIL375" s="901"/>
      <c r="AIM375" s="901"/>
      <c r="AIN375" s="901"/>
      <c r="AIO375" s="901"/>
      <c r="AIP375" s="901"/>
      <c r="AIQ375" s="901"/>
      <c r="AIR375" s="901"/>
      <c r="AIS375" s="901"/>
      <c r="AIT375" s="901"/>
      <c r="AIU375" s="901"/>
      <c r="AIV375" s="901"/>
      <c r="AIW375" s="901"/>
      <c r="AIX375" s="901"/>
      <c r="AIY375" s="901"/>
      <c r="AIZ375" s="901"/>
      <c r="AJA375" s="901"/>
      <c r="AJB375" s="901"/>
      <c r="AJC375" s="901"/>
      <c r="AJD375" s="901"/>
      <c r="AJE375" s="901"/>
      <c r="AJF375" s="901"/>
      <c r="AJG375" s="901"/>
      <c r="AJH375" s="901"/>
      <c r="AJI375" s="901"/>
      <c r="AJJ375" s="901"/>
      <c r="AJK375" s="901"/>
      <c r="AJL375" s="901"/>
      <c r="AJM375" s="901"/>
      <c r="AJN375" s="901"/>
      <c r="AJO375" s="901"/>
      <c r="AJP375" s="901"/>
      <c r="AJQ375" s="901"/>
      <c r="AJR375" s="901"/>
      <c r="AJS375" s="901"/>
      <c r="AJT375" s="901"/>
      <c r="AJU375" s="901"/>
      <c r="AJV375" s="901"/>
      <c r="AJW375" s="901"/>
      <c r="AJX375" s="901"/>
      <c r="AJY375" s="901"/>
      <c r="AJZ375" s="901"/>
      <c r="AKA375" s="901"/>
      <c r="AKB375" s="901"/>
      <c r="AKC375" s="901"/>
      <c r="AKD375" s="901"/>
      <c r="AKE375" s="901"/>
      <c r="AKF375" s="901"/>
      <c r="AKG375" s="901"/>
      <c r="AKH375" s="901"/>
      <c r="AKI375" s="901"/>
      <c r="AKJ375" s="901"/>
      <c r="AKK375" s="901"/>
      <c r="AKL375" s="901"/>
      <c r="AKM375" s="901"/>
      <c r="AKN375" s="901"/>
      <c r="AKO375" s="901"/>
      <c r="AKP375" s="901"/>
      <c r="AKQ375" s="901"/>
      <c r="AKR375" s="901"/>
      <c r="AKS375" s="901"/>
      <c r="AKT375" s="901"/>
      <c r="AKU375" s="901"/>
      <c r="AKV375" s="901"/>
      <c r="AKW375" s="901"/>
      <c r="AKX375" s="901"/>
      <c r="AKY375" s="901"/>
      <c r="AKZ375" s="901"/>
      <c r="ALA375" s="901"/>
      <c r="ALB375" s="901"/>
      <c r="ALC375" s="901"/>
      <c r="ALD375" s="901"/>
      <c r="ALE375" s="901"/>
      <c r="ALF375" s="901"/>
      <c r="ALG375" s="901"/>
      <c r="ALH375" s="901"/>
      <c r="ALI375" s="901"/>
      <c r="ALJ375" s="901"/>
      <c r="ALK375" s="901"/>
      <c r="ALL375" s="901"/>
      <c r="ALM375" s="901"/>
      <c r="ALN375" s="901"/>
      <c r="ALO375" s="901"/>
      <c r="ALP375" s="901"/>
      <c r="ALQ375" s="901"/>
      <c r="ALR375" s="901"/>
      <c r="ALS375" s="901"/>
      <c r="ALT375" s="901"/>
      <c r="ALU375" s="901"/>
      <c r="ALV375" s="901"/>
      <c r="ALW375" s="901"/>
      <c r="ALX375" s="901"/>
      <c r="ALY375" s="901"/>
      <c r="ALZ375" s="901"/>
      <c r="AMA375" s="901"/>
      <c r="AMB375" s="901"/>
      <c r="AMC375" s="901"/>
      <c r="AMD375" s="901"/>
      <c r="AME375" s="901"/>
      <c r="AMF375" s="901"/>
      <c r="AMG375" s="901"/>
      <c r="AMH375" s="901"/>
      <c r="AMI375" s="901"/>
      <c r="AMJ375" s="901"/>
      <c r="AMK375" s="901"/>
      <c r="AML375" s="901"/>
    </row>
    <row r="376" spans="1:1026">
      <c r="A376" s="80">
        <v>5</v>
      </c>
      <c r="B376" s="14" t="s">
        <v>16</v>
      </c>
      <c r="C376" s="14">
        <v>6</v>
      </c>
      <c r="D376" s="14" t="s">
        <v>16</v>
      </c>
      <c r="E376" s="15" t="s">
        <v>81</v>
      </c>
      <c r="F376" s="14" t="s">
        <v>16</v>
      </c>
      <c r="G376" s="81" t="s">
        <v>86</v>
      </c>
      <c r="H376" s="251" t="s">
        <v>385</v>
      </c>
      <c r="I376" s="94">
        <v>6300</v>
      </c>
      <c r="J376" s="95">
        <v>4944.7</v>
      </c>
      <c r="K376" s="94">
        <v>4000</v>
      </c>
      <c r="L376" s="123">
        <v>1729.8</v>
      </c>
      <c r="M376" s="122">
        <v>6000</v>
      </c>
      <c r="N376" s="123">
        <v>1734.8</v>
      </c>
      <c r="O376" s="98">
        <v>4000</v>
      </c>
      <c r="P376" s="124">
        <v>0</v>
      </c>
      <c r="Q376" s="98">
        <v>4000</v>
      </c>
      <c r="R376" s="123">
        <v>13.13</v>
      </c>
      <c r="S376" s="125">
        <v>2000</v>
      </c>
      <c r="T376" s="125">
        <v>2000</v>
      </c>
      <c r="U376" s="125">
        <v>-43.52</v>
      </c>
      <c r="V376" s="125">
        <v>2000</v>
      </c>
      <c r="W376" s="126">
        <v>-62.24</v>
      </c>
      <c r="X376" s="267">
        <v>1000</v>
      </c>
      <c r="Y376" s="268">
        <v>-38.520000000000003</v>
      </c>
      <c r="Z376" s="267">
        <v>1000</v>
      </c>
      <c r="AA376" s="612">
        <v>-62.04</v>
      </c>
      <c r="AB376" s="267">
        <v>1000</v>
      </c>
      <c r="AC376" s="612">
        <v>-62.04</v>
      </c>
      <c r="AD376" s="101">
        <v>1000</v>
      </c>
      <c r="AE376" s="612">
        <v>-172.03</v>
      </c>
      <c r="AF376" s="267">
        <v>1000</v>
      </c>
      <c r="AG376" s="782">
        <v>-36</v>
      </c>
      <c r="AH376" s="267">
        <v>1000</v>
      </c>
      <c r="AI376" s="267">
        <v>1000</v>
      </c>
      <c r="AJ376" s="267">
        <v>1000</v>
      </c>
      <c r="AK376" s="700"/>
      <c r="AM376" s="106"/>
      <c r="AN376" s="106"/>
    </row>
    <row r="377" spans="1:1026">
      <c r="A377" s="80">
        <v>5</v>
      </c>
      <c r="B377" s="14" t="s">
        <v>16</v>
      </c>
      <c r="C377" s="14">
        <v>6</v>
      </c>
      <c r="D377" s="14" t="s">
        <v>16</v>
      </c>
      <c r="E377" s="15" t="s">
        <v>81</v>
      </c>
      <c r="F377" s="14" t="s">
        <v>16</v>
      </c>
      <c r="G377" s="416" t="s">
        <v>73</v>
      </c>
      <c r="H377" s="251" t="s">
        <v>386</v>
      </c>
      <c r="I377" s="94">
        <v>12000</v>
      </c>
      <c r="J377" s="95">
        <v>8942.91</v>
      </c>
      <c r="K377" s="94">
        <v>10000</v>
      </c>
      <c r="L377" s="123">
        <v>5124.54</v>
      </c>
      <c r="M377" s="94">
        <v>10000</v>
      </c>
      <c r="N377" s="95">
        <v>7028.57</v>
      </c>
      <c r="O377" s="96">
        <v>10000</v>
      </c>
      <c r="P377" s="97">
        <v>4024.57</v>
      </c>
      <c r="Q377" s="96">
        <v>10000</v>
      </c>
      <c r="R377" s="95">
        <v>5493.46</v>
      </c>
      <c r="S377" s="99">
        <v>10000</v>
      </c>
      <c r="T377" s="99">
        <v>10000</v>
      </c>
      <c r="U377" s="99">
        <v>-3427.41</v>
      </c>
      <c r="V377" s="99">
        <v>10000</v>
      </c>
      <c r="W377" s="100">
        <v>-4406.67</v>
      </c>
      <c r="X377" s="101">
        <v>7000</v>
      </c>
      <c r="Y377" s="102">
        <v>-2448.15</v>
      </c>
      <c r="Z377" s="101">
        <v>7000</v>
      </c>
      <c r="AA377" s="127">
        <v>-6248.27</v>
      </c>
      <c r="AB377" s="101">
        <v>6000</v>
      </c>
      <c r="AC377" s="127">
        <v>-6248.27</v>
      </c>
      <c r="AD377" s="101">
        <v>5000</v>
      </c>
      <c r="AE377" s="127">
        <v>-4976.78</v>
      </c>
      <c r="AF377" s="865">
        <v>5000</v>
      </c>
      <c r="AG377" s="746">
        <v>-4648.26</v>
      </c>
      <c r="AH377" s="865">
        <v>5000</v>
      </c>
      <c r="AI377" s="865">
        <v>5000</v>
      </c>
      <c r="AJ377" s="865">
        <v>5000</v>
      </c>
      <c r="AK377" s="700"/>
      <c r="AM377" s="106"/>
      <c r="AN377" s="106"/>
    </row>
    <row r="378" spans="1:1026">
      <c r="A378" s="80">
        <v>5</v>
      </c>
      <c r="B378" s="14" t="s">
        <v>16</v>
      </c>
      <c r="C378" s="14">
        <v>6</v>
      </c>
      <c r="D378" s="14" t="s">
        <v>16</v>
      </c>
      <c r="E378" s="15" t="s">
        <v>81</v>
      </c>
      <c r="F378" s="14" t="s">
        <v>16</v>
      </c>
      <c r="G378" s="81" t="s">
        <v>77</v>
      </c>
      <c r="H378" s="251" t="s">
        <v>387</v>
      </c>
      <c r="I378" s="94">
        <v>1800</v>
      </c>
      <c r="J378" s="95">
        <v>1389.23</v>
      </c>
      <c r="K378" s="94">
        <v>1500</v>
      </c>
      <c r="L378" s="95">
        <v>587.85</v>
      </c>
      <c r="M378" s="94">
        <v>1500</v>
      </c>
      <c r="N378" s="95">
        <v>703.35</v>
      </c>
      <c r="O378" s="96">
        <v>1500</v>
      </c>
      <c r="P378" s="97">
        <v>273.69</v>
      </c>
      <c r="Q378" s="96">
        <v>1000</v>
      </c>
      <c r="R378" s="95">
        <v>392.19</v>
      </c>
      <c r="S378" s="99">
        <v>1000</v>
      </c>
      <c r="T378" s="99">
        <v>1000</v>
      </c>
      <c r="U378" s="99">
        <v>-336.56</v>
      </c>
      <c r="V378" s="99">
        <v>1000</v>
      </c>
      <c r="W378" s="100">
        <v>-445.56</v>
      </c>
      <c r="X378" s="101">
        <v>1000</v>
      </c>
      <c r="Y378" s="102">
        <v>-272.68</v>
      </c>
      <c r="Z378" s="101">
        <v>1000</v>
      </c>
      <c r="AA378" s="127">
        <v>-654.17999999999995</v>
      </c>
      <c r="AB378" s="101">
        <v>1000</v>
      </c>
      <c r="AC378" s="127">
        <v>-654.17999999999995</v>
      </c>
      <c r="AD378" s="101">
        <v>1000</v>
      </c>
      <c r="AE378" s="127">
        <v>-684.65</v>
      </c>
      <c r="AF378" s="101">
        <v>1000</v>
      </c>
      <c r="AG378" s="746">
        <v>-168.32</v>
      </c>
      <c r="AH378" s="101">
        <v>1000</v>
      </c>
      <c r="AI378" s="101">
        <v>1000</v>
      </c>
      <c r="AJ378" s="101">
        <v>1000</v>
      </c>
      <c r="AK378" s="700"/>
      <c r="AM378" s="106"/>
      <c r="AN378" s="106"/>
    </row>
    <row r="379" spans="1:1026">
      <c r="A379" s="144"/>
      <c r="B379" s="680"/>
      <c r="C379" s="680"/>
      <c r="D379" s="680"/>
      <c r="E379" s="676"/>
      <c r="F379" s="680"/>
      <c r="G379" s="145"/>
      <c r="H379" s="146" t="s">
        <v>388</v>
      </c>
      <c r="I379" s="147">
        <f t="shared" ref="I379:P379" si="138">SUM(I374:I378)</f>
        <v>113600</v>
      </c>
      <c r="J379" s="148">
        <f t="shared" si="138"/>
        <v>118358.19999999998</v>
      </c>
      <c r="K379" s="147">
        <f t="shared" si="138"/>
        <v>54000</v>
      </c>
      <c r="L379" s="148">
        <f t="shared" si="138"/>
        <v>38231.299999999996</v>
      </c>
      <c r="M379" s="147">
        <f t="shared" si="138"/>
        <v>54000</v>
      </c>
      <c r="N379" s="148">
        <f t="shared" si="138"/>
        <v>47095.43</v>
      </c>
      <c r="O379" s="149">
        <f t="shared" si="138"/>
        <v>46500</v>
      </c>
      <c r="P379" s="150">
        <f t="shared" si="138"/>
        <v>4298.26</v>
      </c>
      <c r="Q379" s="149">
        <v>46000</v>
      </c>
      <c r="R379" s="150">
        <f>SUM(R374:R378)</f>
        <v>22975.079999999998</v>
      </c>
      <c r="S379" s="151">
        <f>SUM(S374:S378)</f>
        <v>45000</v>
      </c>
      <c r="T379" s="151">
        <f>SUM(T374:T378)</f>
        <v>45000</v>
      </c>
      <c r="U379" s="151"/>
      <c r="V379" s="151">
        <f>SUM(V374:V378)</f>
        <v>45000</v>
      </c>
      <c r="W379" s="152">
        <v>-18652.580000000002</v>
      </c>
      <c r="X379" s="153">
        <f>SUM(X374:X378)</f>
        <v>46000</v>
      </c>
      <c r="Y379" s="190">
        <v>-13130.16</v>
      </c>
      <c r="Z379" s="153">
        <f>SUM(Z374:Z378)</f>
        <v>41000</v>
      </c>
      <c r="AA379" s="153">
        <f>SUM(AA374:AA378)</f>
        <v>-38413.530000000006</v>
      </c>
      <c r="AB379" s="153">
        <f>SUM(AB374:AB378)</f>
        <v>40000</v>
      </c>
      <c r="AC379" s="876">
        <v>-38040.82</v>
      </c>
      <c r="AD379" s="153">
        <f>SUM(AD374:AD378)</f>
        <v>42500</v>
      </c>
      <c r="AE379" s="153">
        <f t="shared" ref="AE379" si="139">SUM(AE374:AE378)</f>
        <v>-39718.89</v>
      </c>
      <c r="AF379" s="153">
        <f>SUM(AF374:AF378)</f>
        <v>59000</v>
      </c>
      <c r="AG379" s="153">
        <f t="shared" ref="AG379" si="140">SUM(AG374:AG378)</f>
        <v>-25022.980000000003</v>
      </c>
      <c r="AH379" s="153">
        <f>SUM(AH374:AH378)</f>
        <v>59000</v>
      </c>
      <c r="AI379" s="153">
        <f>SUM(AI374:AI378)</f>
        <v>40000</v>
      </c>
      <c r="AJ379" s="153">
        <f>SUM(AJ374:AJ378)</f>
        <v>41000</v>
      </c>
      <c r="AK379" s="702"/>
      <c r="AM379" s="106"/>
      <c r="AN379" s="106"/>
    </row>
    <row r="380" spans="1:1026">
      <c r="A380" s="80"/>
      <c r="B380" s="14"/>
      <c r="C380" s="14"/>
      <c r="D380" s="14"/>
      <c r="E380" s="15"/>
      <c r="F380" s="14"/>
      <c r="G380" s="81"/>
      <c r="H380" s="251"/>
      <c r="I380" s="94"/>
      <c r="J380" s="95"/>
      <c r="K380" s="94"/>
      <c r="L380" s="95"/>
      <c r="M380" s="94"/>
      <c r="N380" s="95"/>
      <c r="O380" s="96"/>
      <c r="P380" s="97"/>
      <c r="Q380" s="96"/>
      <c r="R380" s="95"/>
      <c r="S380" s="99"/>
      <c r="T380" s="99"/>
      <c r="U380" s="99"/>
      <c r="V380" s="99"/>
      <c r="W380" s="100"/>
      <c r="X380" s="101"/>
      <c r="Y380" s="102"/>
      <c r="Z380" s="103"/>
      <c r="AA380" s="104"/>
      <c r="AB380" s="103"/>
      <c r="AC380" s="104"/>
      <c r="AD380" s="103"/>
      <c r="AE380" s="104"/>
      <c r="AF380" s="103"/>
      <c r="AG380" s="666"/>
      <c r="AH380" s="103"/>
      <c r="AI380" s="103"/>
      <c r="AJ380" s="103"/>
      <c r="AK380" s="700"/>
      <c r="AM380" s="106"/>
      <c r="AN380" s="106"/>
    </row>
    <row r="381" spans="1:1026">
      <c r="A381" s="80">
        <v>5</v>
      </c>
      <c r="B381" s="14" t="s">
        <v>16</v>
      </c>
      <c r="C381" s="14">
        <v>6</v>
      </c>
      <c r="D381" s="14" t="s">
        <v>16</v>
      </c>
      <c r="E381" s="15" t="s">
        <v>86</v>
      </c>
      <c r="F381" s="14" t="s">
        <v>16</v>
      </c>
      <c r="G381" s="416" t="s">
        <v>70</v>
      </c>
      <c r="H381" s="278" t="s">
        <v>389</v>
      </c>
      <c r="I381" s="94">
        <v>10000</v>
      </c>
      <c r="J381" s="95">
        <v>3934.93</v>
      </c>
      <c r="K381" s="94">
        <v>6000</v>
      </c>
      <c r="L381" s="95">
        <v>4359.74</v>
      </c>
      <c r="M381" s="94">
        <v>6000</v>
      </c>
      <c r="N381" s="95">
        <v>4853.47</v>
      </c>
      <c r="O381" s="96">
        <v>6000</v>
      </c>
      <c r="P381" s="97">
        <v>4756.6400000000003</v>
      </c>
      <c r="Q381" s="96">
        <v>8000</v>
      </c>
      <c r="R381" s="95">
        <v>4756.6400000000003</v>
      </c>
      <c r="S381" s="99">
        <v>6000</v>
      </c>
      <c r="T381" s="99">
        <v>6000</v>
      </c>
      <c r="U381" s="99">
        <v>-3110.25</v>
      </c>
      <c r="V381" s="99">
        <v>6000</v>
      </c>
      <c r="W381" s="100">
        <v>-2978.68</v>
      </c>
      <c r="X381" s="101">
        <v>5000</v>
      </c>
      <c r="Y381" s="102">
        <v>-3707.12</v>
      </c>
      <c r="Z381" s="101">
        <v>5000</v>
      </c>
      <c r="AA381" s="127">
        <v>-4463.13</v>
      </c>
      <c r="AB381" s="101">
        <v>4500</v>
      </c>
      <c r="AC381" s="127">
        <v>-4463.13</v>
      </c>
      <c r="AD381" s="101">
        <v>7500</v>
      </c>
      <c r="AE381" s="127">
        <v>-7488.8</v>
      </c>
      <c r="AF381" s="101">
        <v>7500</v>
      </c>
      <c r="AG381" s="746">
        <v>-4408.49</v>
      </c>
      <c r="AH381" s="101">
        <v>7500</v>
      </c>
      <c r="AI381" s="101">
        <v>7500</v>
      </c>
      <c r="AJ381" s="101">
        <v>7500</v>
      </c>
      <c r="AK381" s="706"/>
      <c r="AM381" s="106"/>
      <c r="AN381" s="106"/>
    </row>
    <row r="382" spans="1:1026">
      <c r="A382" s="80"/>
      <c r="B382" s="14"/>
      <c r="C382" s="14"/>
      <c r="D382" s="14"/>
      <c r="E382" s="15"/>
      <c r="F382" s="14"/>
      <c r="G382" s="81"/>
      <c r="H382" s="278"/>
      <c r="I382" s="122"/>
      <c r="J382" s="95"/>
      <c r="K382" s="94"/>
      <c r="L382" s="95"/>
      <c r="M382" s="94"/>
      <c r="N382" s="95"/>
      <c r="O382" s="142"/>
      <c r="P382" s="143"/>
      <c r="Q382" s="142"/>
      <c r="R382" s="95"/>
      <c r="S382" s="99"/>
      <c r="T382" s="99"/>
      <c r="U382" s="99"/>
      <c r="V382" s="99"/>
      <c r="W382" s="100"/>
      <c r="X382" s="101"/>
      <c r="Y382" s="102"/>
      <c r="Z382" s="103"/>
      <c r="AA382" s="104"/>
      <c r="AB382" s="103"/>
      <c r="AC382" s="104"/>
      <c r="AD382" s="103"/>
      <c r="AE382" s="104"/>
      <c r="AF382" s="103"/>
      <c r="AH382" s="103"/>
      <c r="AI382" s="103"/>
      <c r="AJ382" s="103"/>
      <c r="AM382" s="106"/>
      <c r="AN382" s="106"/>
    </row>
    <row r="383" spans="1:1026">
      <c r="A383" s="80">
        <v>5</v>
      </c>
      <c r="B383" s="14" t="s">
        <v>16</v>
      </c>
      <c r="C383" s="14">
        <v>6</v>
      </c>
      <c r="D383" s="14" t="s">
        <v>16</v>
      </c>
      <c r="E383" s="15" t="s">
        <v>73</v>
      </c>
      <c r="F383" s="14" t="s">
        <v>16</v>
      </c>
      <c r="G383" s="416" t="s">
        <v>70</v>
      </c>
      <c r="H383" s="278" t="s">
        <v>390</v>
      </c>
      <c r="I383" s="122"/>
      <c r="J383" s="95"/>
      <c r="K383" s="94"/>
      <c r="L383" s="95"/>
      <c r="M383" s="94"/>
      <c r="N383" s="95"/>
      <c r="O383" s="142"/>
      <c r="P383" s="143"/>
      <c r="Q383" s="142"/>
      <c r="R383" s="95"/>
      <c r="S383" s="99"/>
      <c r="T383" s="99"/>
      <c r="U383" s="99"/>
      <c r="V383" s="99"/>
      <c r="W383" s="100"/>
      <c r="X383" s="101"/>
      <c r="Y383" s="102"/>
      <c r="Z383" s="103"/>
      <c r="AA383" s="104"/>
      <c r="AB383" s="103"/>
      <c r="AC383" s="104"/>
      <c r="AD383" s="103"/>
      <c r="AE383" s="104"/>
      <c r="AF383" s="103"/>
      <c r="AG383" s="666"/>
      <c r="AH383" s="103"/>
      <c r="AI383" s="103"/>
      <c r="AJ383" s="103"/>
      <c r="AK383" s="706"/>
      <c r="AL383" s="514"/>
      <c r="AM383" s="106"/>
      <c r="AN383" s="106"/>
      <c r="AO383" s="65"/>
      <c r="AP383" s="65"/>
      <c r="AQ383" s="65"/>
      <c r="AR383" s="65"/>
      <c r="AS383" s="65"/>
      <c r="AT383" s="65"/>
      <c r="AU383" s="65"/>
      <c r="AV383" s="65"/>
      <c r="AW383" s="65"/>
    </row>
    <row r="384" spans="1:1026">
      <c r="A384" s="80">
        <v>5</v>
      </c>
      <c r="B384" s="14" t="s">
        <v>16</v>
      </c>
      <c r="C384" s="14">
        <v>6</v>
      </c>
      <c r="D384" s="14" t="s">
        <v>16</v>
      </c>
      <c r="E384" s="15" t="s">
        <v>73</v>
      </c>
      <c r="F384" s="14" t="s">
        <v>16</v>
      </c>
      <c r="G384" s="416" t="s">
        <v>81</v>
      </c>
      <c r="H384" s="251" t="s">
        <v>391</v>
      </c>
      <c r="I384" s="94">
        <v>2000</v>
      </c>
      <c r="J384" s="95">
        <v>1667.13</v>
      </c>
      <c r="K384" s="94">
        <v>2000</v>
      </c>
      <c r="L384" s="95">
        <v>1428.5</v>
      </c>
      <c r="M384" s="94">
        <v>2000</v>
      </c>
      <c r="N384" s="95">
        <v>1812.86</v>
      </c>
      <c r="O384" s="96">
        <v>2000</v>
      </c>
      <c r="P384" s="97">
        <v>1306.51</v>
      </c>
      <c r="Q384" s="96">
        <v>2500</v>
      </c>
      <c r="R384" s="95">
        <v>1938.52</v>
      </c>
      <c r="S384" s="99">
        <v>2500</v>
      </c>
      <c r="T384" s="99">
        <v>2500</v>
      </c>
      <c r="U384" s="99">
        <v>-2157.14</v>
      </c>
      <c r="V384" s="99">
        <v>2500</v>
      </c>
      <c r="W384" s="100">
        <v>-2859.32</v>
      </c>
      <c r="X384" s="101">
        <v>2500</v>
      </c>
      <c r="Y384" s="102">
        <v>-589.86</v>
      </c>
      <c r="Z384" s="133">
        <v>3000</v>
      </c>
      <c r="AA384" s="133">
        <v>-1656.49</v>
      </c>
      <c r="AB384" s="133">
        <v>3000</v>
      </c>
      <c r="AC384" s="133">
        <v>-1656.49</v>
      </c>
      <c r="AD384" s="132">
        <v>3000</v>
      </c>
      <c r="AE384" s="133">
        <v>-2125.1799999999998</v>
      </c>
      <c r="AF384" s="132">
        <v>3000</v>
      </c>
      <c r="AG384" s="134">
        <v>-896.48</v>
      </c>
      <c r="AH384" s="132">
        <v>3000</v>
      </c>
      <c r="AI384" s="132">
        <v>3000</v>
      </c>
      <c r="AJ384" s="132">
        <v>3000</v>
      </c>
      <c r="AK384" s="716"/>
      <c r="AM384" s="106"/>
      <c r="AN384" s="106"/>
    </row>
    <row r="385" spans="1:1026" s="902" customFormat="1">
      <c r="A385" s="882">
        <v>5</v>
      </c>
      <c r="B385" s="883" t="s">
        <v>16</v>
      </c>
      <c r="C385" s="883">
        <v>6</v>
      </c>
      <c r="D385" s="883" t="s">
        <v>16</v>
      </c>
      <c r="E385" s="884" t="s">
        <v>73</v>
      </c>
      <c r="F385" s="883" t="s">
        <v>16</v>
      </c>
      <c r="G385" s="938" t="s">
        <v>84</v>
      </c>
      <c r="H385" s="886" t="s">
        <v>392</v>
      </c>
      <c r="I385" s="926">
        <v>5000</v>
      </c>
      <c r="J385" s="927">
        <v>5000</v>
      </c>
      <c r="K385" s="926">
        <v>5000</v>
      </c>
      <c r="L385" s="927">
        <v>0</v>
      </c>
      <c r="M385" s="926">
        <v>5000</v>
      </c>
      <c r="N385" s="927">
        <v>5000</v>
      </c>
      <c r="O385" s="929">
        <v>5000</v>
      </c>
      <c r="P385" s="930">
        <v>0</v>
      </c>
      <c r="Q385" s="929">
        <v>15000</v>
      </c>
      <c r="R385" s="927">
        <v>0</v>
      </c>
      <c r="S385" s="931">
        <v>18000</v>
      </c>
      <c r="T385" s="931">
        <v>18000</v>
      </c>
      <c r="U385" s="931">
        <v>0</v>
      </c>
      <c r="V385" s="931">
        <v>18000</v>
      </c>
      <c r="W385" s="932">
        <v>-173.4</v>
      </c>
      <c r="X385" s="933">
        <v>18000</v>
      </c>
      <c r="Y385" s="934">
        <v>0</v>
      </c>
      <c r="Z385" s="939">
        <v>18000</v>
      </c>
      <c r="AA385" s="939">
        <v>-17500</v>
      </c>
      <c r="AB385" s="939">
        <f>ROUNDUP(13000*1.19,-3)</f>
        <v>16000</v>
      </c>
      <c r="AC385" s="939">
        <v>-17500</v>
      </c>
      <c r="AD385" s="940">
        <f>ROUNDUP(13000*1.19,-3)</f>
        <v>16000</v>
      </c>
      <c r="AE385" s="939">
        <v>-18000</v>
      </c>
      <c r="AF385" s="944">
        <f>ROUNDUP(13000,-3)</f>
        <v>13000</v>
      </c>
      <c r="AG385" s="941"/>
      <c r="AH385" s="944">
        <f>ROUNDUP(13000,-3)</f>
        <v>13000</v>
      </c>
      <c r="AI385" s="944">
        <v>35000</v>
      </c>
      <c r="AJ385" s="944">
        <v>35000</v>
      </c>
      <c r="AK385" s="907" t="s">
        <v>510</v>
      </c>
      <c r="AL385" s="899"/>
      <c r="AM385" s="900"/>
      <c r="AN385" s="900"/>
      <c r="AO385" s="901"/>
      <c r="AP385" s="901"/>
      <c r="AQ385" s="901"/>
      <c r="AR385" s="901"/>
      <c r="AS385" s="901"/>
      <c r="AT385" s="901"/>
      <c r="AU385" s="901"/>
      <c r="AV385" s="901"/>
      <c r="AW385" s="901"/>
      <c r="AX385" s="901"/>
      <c r="AY385" s="901"/>
      <c r="AZ385" s="901"/>
      <c r="BA385" s="901"/>
      <c r="BB385" s="901"/>
      <c r="BC385" s="901"/>
      <c r="BD385" s="901"/>
      <c r="BE385" s="901"/>
      <c r="BF385" s="901"/>
      <c r="BG385" s="901"/>
      <c r="BH385" s="901"/>
      <c r="BI385" s="901"/>
      <c r="BJ385" s="901"/>
      <c r="BK385" s="901"/>
      <c r="BL385" s="901"/>
      <c r="BM385" s="901"/>
      <c r="BN385" s="901"/>
      <c r="BO385" s="901"/>
      <c r="BP385" s="901"/>
      <c r="BQ385" s="901"/>
      <c r="BR385" s="901"/>
      <c r="BS385" s="901"/>
      <c r="BT385" s="901"/>
      <c r="BU385" s="901"/>
      <c r="BV385" s="901"/>
      <c r="BW385" s="901"/>
      <c r="BX385" s="901"/>
      <c r="BY385" s="901"/>
      <c r="BZ385" s="901"/>
      <c r="CA385" s="901"/>
      <c r="CB385" s="901"/>
      <c r="CC385" s="901"/>
      <c r="CD385" s="901"/>
      <c r="CE385" s="901"/>
      <c r="CF385" s="901"/>
      <c r="CG385" s="901"/>
      <c r="CH385" s="901"/>
      <c r="CI385" s="901"/>
      <c r="CJ385" s="901"/>
      <c r="CK385" s="901"/>
      <c r="CL385" s="901"/>
      <c r="CM385" s="901"/>
      <c r="CN385" s="901"/>
      <c r="CO385" s="901"/>
      <c r="CP385" s="901"/>
      <c r="CQ385" s="901"/>
      <c r="CR385" s="901"/>
      <c r="CS385" s="901"/>
      <c r="CT385" s="901"/>
      <c r="CU385" s="901"/>
      <c r="CV385" s="901"/>
      <c r="CW385" s="901"/>
      <c r="CX385" s="901"/>
      <c r="CY385" s="901"/>
      <c r="CZ385" s="901"/>
      <c r="DA385" s="901"/>
      <c r="DB385" s="901"/>
      <c r="DC385" s="901"/>
      <c r="DD385" s="901"/>
      <c r="DE385" s="901"/>
      <c r="DF385" s="901"/>
      <c r="DG385" s="901"/>
      <c r="DH385" s="901"/>
      <c r="DI385" s="901"/>
      <c r="DJ385" s="901"/>
      <c r="DK385" s="901"/>
      <c r="DL385" s="901"/>
      <c r="DM385" s="901"/>
      <c r="DN385" s="901"/>
      <c r="DO385" s="901"/>
      <c r="DP385" s="901"/>
      <c r="DQ385" s="901"/>
      <c r="DR385" s="901"/>
      <c r="DS385" s="901"/>
      <c r="DT385" s="901"/>
      <c r="DU385" s="901"/>
      <c r="DV385" s="901"/>
      <c r="DW385" s="901"/>
      <c r="DX385" s="901"/>
      <c r="DY385" s="901"/>
      <c r="DZ385" s="901"/>
      <c r="EA385" s="901"/>
      <c r="EB385" s="901"/>
      <c r="EC385" s="901"/>
      <c r="ED385" s="901"/>
      <c r="EE385" s="901"/>
      <c r="EF385" s="901"/>
      <c r="EG385" s="901"/>
      <c r="EH385" s="901"/>
      <c r="EI385" s="901"/>
      <c r="EJ385" s="901"/>
      <c r="EK385" s="901"/>
      <c r="EL385" s="901"/>
      <c r="EM385" s="901"/>
      <c r="EN385" s="901"/>
      <c r="EO385" s="901"/>
      <c r="EP385" s="901"/>
      <c r="EQ385" s="901"/>
      <c r="ER385" s="901"/>
      <c r="ES385" s="901"/>
      <c r="ET385" s="901"/>
      <c r="EU385" s="901"/>
      <c r="EV385" s="901"/>
      <c r="EW385" s="901"/>
      <c r="EX385" s="901"/>
      <c r="EY385" s="901"/>
      <c r="EZ385" s="901"/>
      <c r="FA385" s="901"/>
      <c r="FB385" s="901"/>
      <c r="FC385" s="901"/>
      <c r="FD385" s="901"/>
      <c r="FE385" s="901"/>
      <c r="FF385" s="901"/>
      <c r="FG385" s="901"/>
      <c r="FH385" s="901"/>
      <c r="FI385" s="901"/>
      <c r="FJ385" s="901"/>
      <c r="FK385" s="901"/>
      <c r="FL385" s="901"/>
      <c r="FM385" s="901"/>
      <c r="FN385" s="901"/>
      <c r="FO385" s="901"/>
      <c r="FP385" s="901"/>
      <c r="FQ385" s="901"/>
      <c r="FR385" s="901"/>
      <c r="FS385" s="901"/>
      <c r="FT385" s="901"/>
      <c r="FU385" s="901"/>
      <c r="FV385" s="901"/>
      <c r="FW385" s="901"/>
      <c r="FX385" s="901"/>
      <c r="FY385" s="901"/>
      <c r="FZ385" s="901"/>
      <c r="GA385" s="901"/>
      <c r="GB385" s="901"/>
      <c r="GC385" s="901"/>
      <c r="GD385" s="901"/>
      <c r="GE385" s="901"/>
      <c r="GF385" s="901"/>
      <c r="GG385" s="901"/>
      <c r="GH385" s="901"/>
      <c r="GI385" s="901"/>
      <c r="GJ385" s="901"/>
      <c r="GK385" s="901"/>
      <c r="GL385" s="901"/>
      <c r="GM385" s="901"/>
      <c r="GN385" s="901"/>
      <c r="GO385" s="901"/>
      <c r="GP385" s="901"/>
      <c r="GQ385" s="901"/>
      <c r="GR385" s="901"/>
      <c r="GS385" s="901"/>
      <c r="GT385" s="901"/>
      <c r="GU385" s="901"/>
      <c r="GV385" s="901"/>
      <c r="GW385" s="901"/>
      <c r="GX385" s="901"/>
      <c r="GY385" s="901"/>
      <c r="GZ385" s="901"/>
      <c r="HA385" s="901"/>
      <c r="HB385" s="901"/>
      <c r="HC385" s="901"/>
      <c r="HD385" s="901"/>
      <c r="HE385" s="901"/>
      <c r="HF385" s="901"/>
      <c r="HG385" s="901"/>
      <c r="HH385" s="901"/>
      <c r="HI385" s="901"/>
      <c r="HJ385" s="901"/>
      <c r="HK385" s="901"/>
      <c r="HL385" s="901"/>
      <c r="HM385" s="901"/>
      <c r="HN385" s="901"/>
      <c r="HO385" s="901"/>
      <c r="HP385" s="901"/>
      <c r="HQ385" s="901"/>
      <c r="HR385" s="901"/>
      <c r="HS385" s="901"/>
      <c r="HT385" s="901"/>
      <c r="HU385" s="901"/>
      <c r="HV385" s="901"/>
      <c r="HW385" s="901"/>
      <c r="HX385" s="901"/>
      <c r="HY385" s="901"/>
      <c r="HZ385" s="901"/>
      <c r="IA385" s="901"/>
      <c r="IB385" s="901"/>
      <c r="IC385" s="901"/>
      <c r="ID385" s="901"/>
      <c r="IE385" s="901"/>
      <c r="IF385" s="901"/>
      <c r="IG385" s="901"/>
      <c r="IH385" s="901"/>
      <c r="II385" s="901"/>
      <c r="IJ385" s="901"/>
      <c r="IK385" s="901"/>
      <c r="IL385" s="901"/>
      <c r="IM385" s="901"/>
      <c r="IN385" s="901"/>
      <c r="IO385" s="901"/>
      <c r="IP385" s="901"/>
      <c r="IQ385" s="901"/>
      <c r="IR385" s="901"/>
      <c r="IS385" s="901"/>
      <c r="IT385" s="901"/>
      <c r="IU385" s="901"/>
      <c r="IV385" s="901"/>
      <c r="IW385" s="901"/>
      <c r="IX385" s="901"/>
      <c r="IY385" s="901"/>
      <c r="IZ385" s="901"/>
      <c r="JA385" s="901"/>
      <c r="JB385" s="901"/>
      <c r="JC385" s="901"/>
      <c r="JD385" s="901"/>
      <c r="JE385" s="901"/>
      <c r="JF385" s="901"/>
      <c r="JG385" s="901"/>
      <c r="JH385" s="901"/>
      <c r="JI385" s="901"/>
      <c r="JJ385" s="901"/>
      <c r="JK385" s="901"/>
      <c r="JL385" s="901"/>
      <c r="JM385" s="901"/>
      <c r="JN385" s="901"/>
      <c r="JO385" s="901"/>
      <c r="JP385" s="901"/>
      <c r="JQ385" s="901"/>
      <c r="JR385" s="901"/>
      <c r="JS385" s="901"/>
      <c r="JT385" s="901"/>
      <c r="JU385" s="901"/>
      <c r="JV385" s="901"/>
      <c r="JW385" s="901"/>
      <c r="JX385" s="901"/>
      <c r="JY385" s="901"/>
      <c r="JZ385" s="901"/>
      <c r="KA385" s="901"/>
      <c r="KB385" s="901"/>
      <c r="KC385" s="901"/>
      <c r="KD385" s="901"/>
      <c r="KE385" s="901"/>
      <c r="KF385" s="901"/>
      <c r="KG385" s="901"/>
      <c r="KH385" s="901"/>
      <c r="KI385" s="901"/>
      <c r="KJ385" s="901"/>
      <c r="KK385" s="901"/>
      <c r="KL385" s="901"/>
      <c r="KM385" s="901"/>
      <c r="KN385" s="901"/>
      <c r="KO385" s="901"/>
      <c r="KP385" s="901"/>
      <c r="KQ385" s="901"/>
      <c r="KR385" s="901"/>
      <c r="KS385" s="901"/>
      <c r="KT385" s="901"/>
      <c r="KU385" s="901"/>
      <c r="KV385" s="901"/>
      <c r="KW385" s="901"/>
      <c r="KX385" s="901"/>
      <c r="KY385" s="901"/>
      <c r="KZ385" s="901"/>
      <c r="LA385" s="901"/>
      <c r="LB385" s="901"/>
      <c r="LC385" s="901"/>
      <c r="LD385" s="901"/>
      <c r="LE385" s="901"/>
      <c r="LF385" s="901"/>
      <c r="LG385" s="901"/>
      <c r="LH385" s="901"/>
      <c r="LI385" s="901"/>
      <c r="LJ385" s="901"/>
      <c r="LK385" s="901"/>
      <c r="LL385" s="901"/>
      <c r="LM385" s="901"/>
      <c r="LN385" s="901"/>
      <c r="LO385" s="901"/>
      <c r="LP385" s="901"/>
      <c r="LQ385" s="901"/>
      <c r="LR385" s="901"/>
      <c r="LS385" s="901"/>
      <c r="LT385" s="901"/>
      <c r="LU385" s="901"/>
      <c r="LV385" s="901"/>
      <c r="LW385" s="901"/>
      <c r="LX385" s="901"/>
      <c r="LY385" s="901"/>
      <c r="LZ385" s="901"/>
      <c r="MA385" s="901"/>
      <c r="MB385" s="901"/>
      <c r="MC385" s="901"/>
      <c r="MD385" s="901"/>
      <c r="ME385" s="901"/>
      <c r="MF385" s="901"/>
      <c r="MG385" s="901"/>
      <c r="MH385" s="901"/>
      <c r="MI385" s="901"/>
      <c r="MJ385" s="901"/>
      <c r="MK385" s="901"/>
      <c r="ML385" s="901"/>
      <c r="MM385" s="901"/>
      <c r="MN385" s="901"/>
      <c r="MO385" s="901"/>
      <c r="MP385" s="901"/>
      <c r="MQ385" s="901"/>
      <c r="MR385" s="901"/>
      <c r="MS385" s="901"/>
      <c r="MT385" s="901"/>
      <c r="MU385" s="901"/>
      <c r="MV385" s="901"/>
      <c r="MW385" s="901"/>
      <c r="MX385" s="901"/>
      <c r="MY385" s="901"/>
      <c r="MZ385" s="901"/>
      <c r="NA385" s="901"/>
      <c r="NB385" s="901"/>
      <c r="NC385" s="901"/>
      <c r="ND385" s="901"/>
      <c r="NE385" s="901"/>
      <c r="NF385" s="901"/>
      <c r="NG385" s="901"/>
      <c r="NH385" s="901"/>
      <c r="NI385" s="901"/>
      <c r="NJ385" s="901"/>
      <c r="NK385" s="901"/>
      <c r="NL385" s="901"/>
      <c r="NM385" s="901"/>
      <c r="NN385" s="901"/>
      <c r="NO385" s="901"/>
      <c r="NP385" s="901"/>
      <c r="NQ385" s="901"/>
      <c r="NR385" s="901"/>
      <c r="NS385" s="901"/>
      <c r="NT385" s="901"/>
      <c r="NU385" s="901"/>
      <c r="NV385" s="901"/>
      <c r="NW385" s="901"/>
      <c r="NX385" s="901"/>
      <c r="NY385" s="901"/>
      <c r="NZ385" s="901"/>
      <c r="OA385" s="901"/>
      <c r="OB385" s="901"/>
      <c r="OC385" s="901"/>
      <c r="OD385" s="901"/>
      <c r="OE385" s="901"/>
      <c r="OF385" s="901"/>
      <c r="OG385" s="901"/>
      <c r="OH385" s="901"/>
      <c r="OI385" s="901"/>
      <c r="OJ385" s="901"/>
      <c r="OK385" s="901"/>
      <c r="OL385" s="901"/>
      <c r="OM385" s="901"/>
      <c r="ON385" s="901"/>
      <c r="OO385" s="901"/>
      <c r="OP385" s="901"/>
      <c r="OQ385" s="901"/>
      <c r="OR385" s="901"/>
      <c r="OS385" s="901"/>
      <c r="OT385" s="901"/>
      <c r="OU385" s="901"/>
      <c r="OV385" s="901"/>
      <c r="OW385" s="901"/>
      <c r="OX385" s="901"/>
      <c r="OY385" s="901"/>
      <c r="OZ385" s="901"/>
      <c r="PA385" s="901"/>
      <c r="PB385" s="901"/>
      <c r="PC385" s="901"/>
      <c r="PD385" s="901"/>
      <c r="PE385" s="901"/>
      <c r="PF385" s="901"/>
      <c r="PG385" s="901"/>
      <c r="PH385" s="901"/>
      <c r="PI385" s="901"/>
      <c r="PJ385" s="901"/>
      <c r="PK385" s="901"/>
      <c r="PL385" s="901"/>
      <c r="PM385" s="901"/>
      <c r="PN385" s="901"/>
      <c r="PO385" s="901"/>
      <c r="PP385" s="901"/>
      <c r="PQ385" s="901"/>
      <c r="PR385" s="901"/>
      <c r="PS385" s="901"/>
      <c r="PT385" s="901"/>
      <c r="PU385" s="901"/>
      <c r="PV385" s="901"/>
      <c r="PW385" s="901"/>
      <c r="PX385" s="901"/>
      <c r="PY385" s="901"/>
      <c r="PZ385" s="901"/>
      <c r="QA385" s="901"/>
      <c r="QB385" s="901"/>
      <c r="QC385" s="901"/>
      <c r="QD385" s="901"/>
      <c r="QE385" s="901"/>
      <c r="QF385" s="901"/>
      <c r="QG385" s="901"/>
      <c r="QH385" s="901"/>
      <c r="QI385" s="901"/>
      <c r="QJ385" s="901"/>
      <c r="QK385" s="901"/>
      <c r="QL385" s="901"/>
      <c r="QM385" s="901"/>
      <c r="QN385" s="901"/>
      <c r="QO385" s="901"/>
      <c r="QP385" s="901"/>
      <c r="QQ385" s="901"/>
      <c r="QR385" s="901"/>
      <c r="QS385" s="901"/>
      <c r="QT385" s="901"/>
      <c r="QU385" s="901"/>
      <c r="QV385" s="901"/>
      <c r="QW385" s="901"/>
      <c r="QX385" s="901"/>
      <c r="QY385" s="901"/>
      <c r="QZ385" s="901"/>
      <c r="RA385" s="901"/>
      <c r="RB385" s="901"/>
      <c r="RC385" s="901"/>
      <c r="RD385" s="901"/>
      <c r="RE385" s="901"/>
      <c r="RF385" s="901"/>
      <c r="RG385" s="901"/>
      <c r="RH385" s="901"/>
      <c r="RI385" s="901"/>
      <c r="RJ385" s="901"/>
      <c r="RK385" s="901"/>
      <c r="RL385" s="901"/>
      <c r="RM385" s="901"/>
      <c r="RN385" s="901"/>
      <c r="RO385" s="901"/>
      <c r="RP385" s="901"/>
      <c r="RQ385" s="901"/>
      <c r="RR385" s="901"/>
      <c r="RS385" s="901"/>
      <c r="RT385" s="901"/>
      <c r="RU385" s="901"/>
      <c r="RV385" s="901"/>
      <c r="RW385" s="901"/>
      <c r="RX385" s="901"/>
      <c r="RY385" s="901"/>
      <c r="RZ385" s="901"/>
      <c r="SA385" s="901"/>
      <c r="SB385" s="901"/>
      <c r="SC385" s="901"/>
      <c r="SD385" s="901"/>
      <c r="SE385" s="901"/>
      <c r="SF385" s="901"/>
      <c r="SG385" s="901"/>
      <c r="SH385" s="901"/>
      <c r="SI385" s="901"/>
      <c r="SJ385" s="901"/>
      <c r="SK385" s="901"/>
      <c r="SL385" s="901"/>
      <c r="SM385" s="901"/>
      <c r="SN385" s="901"/>
      <c r="SO385" s="901"/>
      <c r="SP385" s="901"/>
      <c r="SQ385" s="901"/>
      <c r="SR385" s="901"/>
      <c r="SS385" s="901"/>
      <c r="ST385" s="901"/>
      <c r="SU385" s="901"/>
      <c r="SV385" s="901"/>
      <c r="SW385" s="901"/>
      <c r="SX385" s="901"/>
      <c r="SY385" s="901"/>
      <c r="SZ385" s="901"/>
      <c r="TA385" s="901"/>
      <c r="TB385" s="901"/>
      <c r="TC385" s="901"/>
      <c r="TD385" s="901"/>
      <c r="TE385" s="901"/>
      <c r="TF385" s="901"/>
      <c r="TG385" s="901"/>
      <c r="TH385" s="901"/>
      <c r="TI385" s="901"/>
      <c r="TJ385" s="901"/>
      <c r="TK385" s="901"/>
      <c r="TL385" s="901"/>
      <c r="TM385" s="901"/>
      <c r="TN385" s="901"/>
      <c r="TO385" s="901"/>
      <c r="TP385" s="901"/>
      <c r="TQ385" s="901"/>
      <c r="TR385" s="901"/>
      <c r="TS385" s="901"/>
      <c r="TT385" s="901"/>
      <c r="TU385" s="901"/>
      <c r="TV385" s="901"/>
      <c r="TW385" s="901"/>
      <c r="TX385" s="901"/>
      <c r="TY385" s="901"/>
      <c r="TZ385" s="901"/>
      <c r="UA385" s="901"/>
      <c r="UB385" s="901"/>
      <c r="UC385" s="901"/>
      <c r="UD385" s="901"/>
      <c r="UE385" s="901"/>
      <c r="UF385" s="901"/>
      <c r="UG385" s="901"/>
      <c r="UH385" s="901"/>
      <c r="UI385" s="901"/>
      <c r="UJ385" s="901"/>
      <c r="UK385" s="901"/>
      <c r="UL385" s="901"/>
      <c r="UM385" s="901"/>
      <c r="UN385" s="901"/>
      <c r="UO385" s="901"/>
      <c r="UP385" s="901"/>
      <c r="UQ385" s="901"/>
      <c r="UR385" s="901"/>
      <c r="US385" s="901"/>
      <c r="UT385" s="901"/>
      <c r="UU385" s="901"/>
      <c r="UV385" s="901"/>
      <c r="UW385" s="901"/>
      <c r="UX385" s="901"/>
      <c r="UY385" s="901"/>
      <c r="UZ385" s="901"/>
      <c r="VA385" s="901"/>
      <c r="VB385" s="901"/>
      <c r="VC385" s="901"/>
      <c r="VD385" s="901"/>
      <c r="VE385" s="901"/>
      <c r="VF385" s="901"/>
      <c r="VG385" s="901"/>
      <c r="VH385" s="901"/>
      <c r="VI385" s="901"/>
      <c r="VJ385" s="901"/>
      <c r="VK385" s="901"/>
      <c r="VL385" s="901"/>
      <c r="VM385" s="901"/>
      <c r="VN385" s="901"/>
      <c r="VO385" s="901"/>
      <c r="VP385" s="901"/>
      <c r="VQ385" s="901"/>
      <c r="VR385" s="901"/>
      <c r="VS385" s="901"/>
      <c r="VT385" s="901"/>
      <c r="VU385" s="901"/>
      <c r="VV385" s="901"/>
      <c r="VW385" s="901"/>
      <c r="VX385" s="901"/>
      <c r="VY385" s="901"/>
      <c r="VZ385" s="901"/>
      <c r="WA385" s="901"/>
      <c r="WB385" s="901"/>
      <c r="WC385" s="901"/>
      <c r="WD385" s="901"/>
      <c r="WE385" s="901"/>
      <c r="WF385" s="901"/>
      <c r="WG385" s="901"/>
      <c r="WH385" s="901"/>
      <c r="WI385" s="901"/>
      <c r="WJ385" s="901"/>
      <c r="WK385" s="901"/>
      <c r="WL385" s="901"/>
      <c r="WM385" s="901"/>
      <c r="WN385" s="901"/>
      <c r="WO385" s="901"/>
      <c r="WP385" s="901"/>
      <c r="WQ385" s="901"/>
      <c r="WR385" s="901"/>
      <c r="WS385" s="901"/>
      <c r="WT385" s="901"/>
      <c r="WU385" s="901"/>
      <c r="WV385" s="901"/>
      <c r="WW385" s="901"/>
      <c r="WX385" s="901"/>
      <c r="WY385" s="901"/>
      <c r="WZ385" s="901"/>
      <c r="XA385" s="901"/>
      <c r="XB385" s="901"/>
      <c r="XC385" s="901"/>
      <c r="XD385" s="901"/>
      <c r="XE385" s="901"/>
      <c r="XF385" s="901"/>
      <c r="XG385" s="901"/>
      <c r="XH385" s="901"/>
      <c r="XI385" s="901"/>
      <c r="XJ385" s="901"/>
      <c r="XK385" s="901"/>
      <c r="XL385" s="901"/>
      <c r="XM385" s="901"/>
      <c r="XN385" s="901"/>
      <c r="XO385" s="901"/>
      <c r="XP385" s="901"/>
      <c r="XQ385" s="901"/>
      <c r="XR385" s="901"/>
      <c r="XS385" s="901"/>
      <c r="XT385" s="901"/>
      <c r="XU385" s="901"/>
      <c r="XV385" s="901"/>
      <c r="XW385" s="901"/>
      <c r="XX385" s="901"/>
      <c r="XY385" s="901"/>
      <c r="XZ385" s="901"/>
      <c r="YA385" s="901"/>
      <c r="YB385" s="901"/>
      <c r="YC385" s="901"/>
      <c r="YD385" s="901"/>
      <c r="YE385" s="901"/>
      <c r="YF385" s="901"/>
      <c r="YG385" s="901"/>
      <c r="YH385" s="901"/>
      <c r="YI385" s="901"/>
      <c r="YJ385" s="901"/>
      <c r="YK385" s="901"/>
      <c r="YL385" s="901"/>
      <c r="YM385" s="901"/>
      <c r="YN385" s="901"/>
      <c r="YO385" s="901"/>
      <c r="YP385" s="901"/>
      <c r="YQ385" s="901"/>
      <c r="YR385" s="901"/>
      <c r="YS385" s="901"/>
      <c r="YT385" s="901"/>
      <c r="YU385" s="901"/>
      <c r="YV385" s="901"/>
      <c r="YW385" s="901"/>
      <c r="YX385" s="901"/>
      <c r="YY385" s="901"/>
      <c r="YZ385" s="901"/>
      <c r="ZA385" s="901"/>
      <c r="ZB385" s="901"/>
      <c r="ZC385" s="901"/>
      <c r="ZD385" s="901"/>
      <c r="ZE385" s="901"/>
      <c r="ZF385" s="901"/>
      <c r="ZG385" s="901"/>
      <c r="ZH385" s="901"/>
      <c r="ZI385" s="901"/>
      <c r="ZJ385" s="901"/>
      <c r="ZK385" s="901"/>
      <c r="ZL385" s="901"/>
      <c r="ZM385" s="901"/>
      <c r="ZN385" s="901"/>
      <c r="ZO385" s="901"/>
      <c r="ZP385" s="901"/>
      <c r="ZQ385" s="901"/>
      <c r="ZR385" s="901"/>
      <c r="ZS385" s="901"/>
      <c r="ZT385" s="901"/>
      <c r="ZU385" s="901"/>
      <c r="ZV385" s="901"/>
      <c r="ZW385" s="901"/>
      <c r="ZX385" s="901"/>
      <c r="ZY385" s="901"/>
      <c r="ZZ385" s="901"/>
      <c r="AAA385" s="901"/>
      <c r="AAB385" s="901"/>
      <c r="AAC385" s="901"/>
      <c r="AAD385" s="901"/>
      <c r="AAE385" s="901"/>
      <c r="AAF385" s="901"/>
      <c r="AAG385" s="901"/>
      <c r="AAH385" s="901"/>
      <c r="AAI385" s="901"/>
      <c r="AAJ385" s="901"/>
      <c r="AAK385" s="901"/>
      <c r="AAL385" s="901"/>
      <c r="AAM385" s="901"/>
      <c r="AAN385" s="901"/>
      <c r="AAO385" s="901"/>
      <c r="AAP385" s="901"/>
      <c r="AAQ385" s="901"/>
      <c r="AAR385" s="901"/>
      <c r="AAS385" s="901"/>
      <c r="AAT385" s="901"/>
      <c r="AAU385" s="901"/>
      <c r="AAV385" s="901"/>
      <c r="AAW385" s="901"/>
      <c r="AAX385" s="901"/>
      <c r="AAY385" s="901"/>
      <c r="AAZ385" s="901"/>
      <c r="ABA385" s="901"/>
      <c r="ABB385" s="901"/>
      <c r="ABC385" s="901"/>
      <c r="ABD385" s="901"/>
      <c r="ABE385" s="901"/>
      <c r="ABF385" s="901"/>
      <c r="ABG385" s="901"/>
      <c r="ABH385" s="901"/>
      <c r="ABI385" s="901"/>
      <c r="ABJ385" s="901"/>
      <c r="ABK385" s="901"/>
      <c r="ABL385" s="901"/>
      <c r="ABM385" s="901"/>
      <c r="ABN385" s="901"/>
      <c r="ABO385" s="901"/>
      <c r="ABP385" s="901"/>
      <c r="ABQ385" s="901"/>
      <c r="ABR385" s="901"/>
      <c r="ABS385" s="901"/>
      <c r="ABT385" s="901"/>
      <c r="ABU385" s="901"/>
      <c r="ABV385" s="901"/>
      <c r="ABW385" s="901"/>
      <c r="ABX385" s="901"/>
      <c r="ABY385" s="901"/>
      <c r="ABZ385" s="901"/>
      <c r="ACA385" s="901"/>
      <c r="ACB385" s="901"/>
      <c r="ACC385" s="901"/>
      <c r="ACD385" s="901"/>
      <c r="ACE385" s="901"/>
      <c r="ACF385" s="901"/>
      <c r="ACG385" s="901"/>
      <c r="ACH385" s="901"/>
      <c r="ACI385" s="901"/>
      <c r="ACJ385" s="901"/>
      <c r="ACK385" s="901"/>
      <c r="ACL385" s="901"/>
      <c r="ACM385" s="901"/>
      <c r="ACN385" s="901"/>
      <c r="ACO385" s="901"/>
      <c r="ACP385" s="901"/>
      <c r="ACQ385" s="901"/>
      <c r="ACR385" s="901"/>
      <c r="ACS385" s="901"/>
      <c r="ACT385" s="901"/>
      <c r="ACU385" s="901"/>
      <c r="ACV385" s="901"/>
      <c r="ACW385" s="901"/>
      <c r="ACX385" s="901"/>
      <c r="ACY385" s="901"/>
      <c r="ACZ385" s="901"/>
      <c r="ADA385" s="901"/>
      <c r="ADB385" s="901"/>
      <c r="ADC385" s="901"/>
      <c r="ADD385" s="901"/>
      <c r="ADE385" s="901"/>
      <c r="ADF385" s="901"/>
      <c r="ADG385" s="901"/>
      <c r="ADH385" s="901"/>
      <c r="ADI385" s="901"/>
      <c r="ADJ385" s="901"/>
      <c r="ADK385" s="901"/>
      <c r="ADL385" s="901"/>
      <c r="ADM385" s="901"/>
      <c r="ADN385" s="901"/>
      <c r="ADO385" s="901"/>
      <c r="ADP385" s="901"/>
      <c r="ADQ385" s="901"/>
      <c r="ADR385" s="901"/>
      <c r="ADS385" s="901"/>
      <c r="ADT385" s="901"/>
      <c r="ADU385" s="901"/>
      <c r="ADV385" s="901"/>
      <c r="ADW385" s="901"/>
      <c r="ADX385" s="901"/>
      <c r="ADY385" s="901"/>
      <c r="ADZ385" s="901"/>
      <c r="AEA385" s="901"/>
      <c r="AEB385" s="901"/>
      <c r="AEC385" s="901"/>
      <c r="AED385" s="901"/>
      <c r="AEE385" s="901"/>
      <c r="AEF385" s="901"/>
      <c r="AEG385" s="901"/>
      <c r="AEH385" s="901"/>
      <c r="AEI385" s="901"/>
      <c r="AEJ385" s="901"/>
      <c r="AEK385" s="901"/>
      <c r="AEL385" s="901"/>
      <c r="AEM385" s="901"/>
      <c r="AEN385" s="901"/>
      <c r="AEO385" s="901"/>
      <c r="AEP385" s="901"/>
      <c r="AEQ385" s="901"/>
      <c r="AER385" s="901"/>
      <c r="AES385" s="901"/>
      <c r="AET385" s="901"/>
      <c r="AEU385" s="901"/>
      <c r="AEV385" s="901"/>
      <c r="AEW385" s="901"/>
      <c r="AEX385" s="901"/>
      <c r="AEY385" s="901"/>
      <c r="AEZ385" s="901"/>
      <c r="AFA385" s="901"/>
      <c r="AFB385" s="901"/>
      <c r="AFC385" s="901"/>
      <c r="AFD385" s="901"/>
      <c r="AFE385" s="901"/>
      <c r="AFF385" s="901"/>
      <c r="AFG385" s="901"/>
      <c r="AFH385" s="901"/>
      <c r="AFI385" s="901"/>
      <c r="AFJ385" s="901"/>
      <c r="AFK385" s="901"/>
      <c r="AFL385" s="901"/>
      <c r="AFM385" s="901"/>
      <c r="AFN385" s="901"/>
      <c r="AFO385" s="901"/>
      <c r="AFP385" s="901"/>
      <c r="AFQ385" s="901"/>
      <c r="AFR385" s="901"/>
      <c r="AFS385" s="901"/>
      <c r="AFT385" s="901"/>
      <c r="AFU385" s="901"/>
      <c r="AFV385" s="901"/>
      <c r="AFW385" s="901"/>
      <c r="AFX385" s="901"/>
      <c r="AFY385" s="901"/>
      <c r="AFZ385" s="901"/>
      <c r="AGA385" s="901"/>
      <c r="AGB385" s="901"/>
      <c r="AGC385" s="901"/>
      <c r="AGD385" s="901"/>
      <c r="AGE385" s="901"/>
      <c r="AGF385" s="901"/>
      <c r="AGG385" s="901"/>
      <c r="AGH385" s="901"/>
      <c r="AGI385" s="901"/>
      <c r="AGJ385" s="901"/>
      <c r="AGK385" s="901"/>
      <c r="AGL385" s="901"/>
      <c r="AGM385" s="901"/>
      <c r="AGN385" s="901"/>
      <c r="AGO385" s="901"/>
      <c r="AGP385" s="901"/>
      <c r="AGQ385" s="901"/>
      <c r="AGR385" s="901"/>
      <c r="AGS385" s="901"/>
      <c r="AGT385" s="901"/>
      <c r="AGU385" s="901"/>
      <c r="AGV385" s="901"/>
      <c r="AGW385" s="901"/>
      <c r="AGX385" s="901"/>
      <c r="AGY385" s="901"/>
      <c r="AGZ385" s="901"/>
      <c r="AHA385" s="901"/>
      <c r="AHB385" s="901"/>
      <c r="AHC385" s="901"/>
      <c r="AHD385" s="901"/>
      <c r="AHE385" s="901"/>
      <c r="AHF385" s="901"/>
      <c r="AHG385" s="901"/>
      <c r="AHH385" s="901"/>
      <c r="AHI385" s="901"/>
      <c r="AHJ385" s="901"/>
      <c r="AHK385" s="901"/>
      <c r="AHL385" s="901"/>
      <c r="AHM385" s="901"/>
      <c r="AHN385" s="901"/>
      <c r="AHO385" s="901"/>
      <c r="AHP385" s="901"/>
      <c r="AHQ385" s="901"/>
      <c r="AHR385" s="901"/>
      <c r="AHS385" s="901"/>
      <c r="AHT385" s="901"/>
      <c r="AHU385" s="901"/>
      <c r="AHV385" s="901"/>
      <c r="AHW385" s="901"/>
      <c r="AHX385" s="901"/>
      <c r="AHY385" s="901"/>
      <c r="AHZ385" s="901"/>
      <c r="AIA385" s="901"/>
      <c r="AIB385" s="901"/>
      <c r="AIC385" s="901"/>
      <c r="AID385" s="901"/>
      <c r="AIE385" s="901"/>
      <c r="AIF385" s="901"/>
      <c r="AIG385" s="901"/>
      <c r="AIH385" s="901"/>
      <c r="AII385" s="901"/>
      <c r="AIJ385" s="901"/>
      <c r="AIK385" s="901"/>
      <c r="AIL385" s="901"/>
      <c r="AIM385" s="901"/>
      <c r="AIN385" s="901"/>
      <c r="AIO385" s="901"/>
      <c r="AIP385" s="901"/>
      <c r="AIQ385" s="901"/>
      <c r="AIR385" s="901"/>
      <c r="AIS385" s="901"/>
      <c r="AIT385" s="901"/>
      <c r="AIU385" s="901"/>
      <c r="AIV385" s="901"/>
      <c r="AIW385" s="901"/>
      <c r="AIX385" s="901"/>
      <c r="AIY385" s="901"/>
      <c r="AIZ385" s="901"/>
      <c r="AJA385" s="901"/>
      <c r="AJB385" s="901"/>
      <c r="AJC385" s="901"/>
      <c r="AJD385" s="901"/>
      <c r="AJE385" s="901"/>
      <c r="AJF385" s="901"/>
      <c r="AJG385" s="901"/>
      <c r="AJH385" s="901"/>
      <c r="AJI385" s="901"/>
      <c r="AJJ385" s="901"/>
      <c r="AJK385" s="901"/>
      <c r="AJL385" s="901"/>
      <c r="AJM385" s="901"/>
      <c r="AJN385" s="901"/>
      <c r="AJO385" s="901"/>
      <c r="AJP385" s="901"/>
      <c r="AJQ385" s="901"/>
      <c r="AJR385" s="901"/>
      <c r="AJS385" s="901"/>
      <c r="AJT385" s="901"/>
      <c r="AJU385" s="901"/>
      <c r="AJV385" s="901"/>
      <c r="AJW385" s="901"/>
      <c r="AJX385" s="901"/>
      <c r="AJY385" s="901"/>
      <c r="AJZ385" s="901"/>
      <c r="AKA385" s="901"/>
      <c r="AKB385" s="901"/>
      <c r="AKC385" s="901"/>
      <c r="AKD385" s="901"/>
      <c r="AKE385" s="901"/>
      <c r="AKF385" s="901"/>
      <c r="AKG385" s="901"/>
      <c r="AKH385" s="901"/>
      <c r="AKI385" s="901"/>
      <c r="AKJ385" s="901"/>
      <c r="AKK385" s="901"/>
      <c r="AKL385" s="901"/>
      <c r="AKM385" s="901"/>
      <c r="AKN385" s="901"/>
      <c r="AKO385" s="901"/>
      <c r="AKP385" s="901"/>
      <c r="AKQ385" s="901"/>
      <c r="AKR385" s="901"/>
      <c r="AKS385" s="901"/>
      <c r="AKT385" s="901"/>
      <c r="AKU385" s="901"/>
      <c r="AKV385" s="901"/>
      <c r="AKW385" s="901"/>
      <c r="AKX385" s="901"/>
      <c r="AKY385" s="901"/>
      <c r="AKZ385" s="901"/>
      <c r="ALA385" s="901"/>
      <c r="ALB385" s="901"/>
      <c r="ALC385" s="901"/>
      <c r="ALD385" s="901"/>
      <c r="ALE385" s="901"/>
      <c r="ALF385" s="901"/>
      <c r="ALG385" s="901"/>
      <c r="ALH385" s="901"/>
      <c r="ALI385" s="901"/>
      <c r="ALJ385" s="901"/>
      <c r="ALK385" s="901"/>
      <c r="ALL385" s="901"/>
      <c r="ALM385" s="901"/>
      <c r="ALN385" s="901"/>
      <c r="ALO385" s="901"/>
      <c r="ALP385" s="901"/>
      <c r="ALQ385" s="901"/>
      <c r="ALR385" s="901"/>
      <c r="ALS385" s="901"/>
      <c r="ALT385" s="901"/>
      <c r="ALU385" s="901"/>
      <c r="ALV385" s="901"/>
      <c r="ALW385" s="901"/>
      <c r="ALX385" s="901"/>
      <c r="ALY385" s="901"/>
      <c r="ALZ385" s="901"/>
      <c r="AMA385" s="901"/>
      <c r="AMB385" s="901"/>
      <c r="AMC385" s="901"/>
      <c r="AMD385" s="901"/>
      <c r="AME385" s="901"/>
      <c r="AMF385" s="901"/>
      <c r="AMG385" s="901"/>
      <c r="AMH385" s="901"/>
      <c r="AMI385" s="901"/>
      <c r="AMJ385" s="901"/>
      <c r="AMK385" s="901"/>
      <c r="AML385" s="901"/>
    </row>
    <row r="386" spans="1:1026">
      <c r="A386" s="80">
        <v>5</v>
      </c>
      <c r="B386" s="14" t="s">
        <v>16</v>
      </c>
      <c r="C386" s="14">
        <v>6</v>
      </c>
      <c r="D386" s="14" t="s">
        <v>16</v>
      </c>
      <c r="E386" s="15" t="s">
        <v>73</v>
      </c>
      <c r="F386" s="14" t="s">
        <v>16</v>
      </c>
      <c r="G386" s="81" t="s">
        <v>86</v>
      </c>
      <c r="H386" s="107" t="s">
        <v>393</v>
      </c>
      <c r="I386" s="94">
        <v>22500</v>
      </c>
      <c r="J386" s="95">
        <v>23802.95</v>
      </c>
      <c r="K386" s="94">
        <v>22500</v>
      </c>
      <c r="L386" s="95">
        <v>18344.169999999998</v>
      </c>
      <c r="M386" s="94">
        <v>22500</v>
      </c>
      <c r="N386" s="95">
        <v>29160.17</v>
      </c>
      <c r="O386" s="96">
        <v>22500</v>
      </c>
      <c r="P386" s="97">
        <v>12387.66</v>
      </c>
      <c r="Q386" s="96">
        <v>26000</v>
      </c>
      <c r="R386" s="95">
        <v>18985.29</v>
      </c>
      <c r="S386" s="99">
        <v>30000</v>
      </c>
      <c r="T386" s="99">
        <v>30000</v>
      </c>
      <c r="U386" s="99">
        <v>-14783.65</v>
      </c>
      <c r="V386" s="99">
        <v>30000</v>
      </c>
      <c r="W386" s="100">
        <v>-19091.29</v>
      </c>
      <c r="X386" s="101">
        <v>30000</v>
      </c>
      <c r="Y386" s="102">
        <v>-10188.75</v>
      </c>
      <c r="Z386" s="133">
        <v>30000</v>
      </c>
      <c r="AA386" s="133">
        <v>-36576.120000000003</v>
      </c>
      <c r="AB386" s="133">
        <v>30000</v>
      </c>
      <c r="AC386" s="133">
        <v>-36576.120000000003</v>
      </c>
      <c r="AD386" s="132">
        <v>33000</v>
      </c>
      <c r="AE386" s="133">
        <v>-39779.660000000003</v>
      </c>
      <c r="AF386" s="132">
        <v>33000</v>
      </c>
      <c r="AG386" s="134">
        <v>-15580.67</v>
      </c>
      <c r="AH386" s="132">
        <v>33000</v>
      </c>
      <c r="AI386" s="132">
        <v>33000</v>
      </c>
      <c r="AJ386" s="132">
        <v>33000</v>
      </c>
      <c r="AK386" s="716"/>
      <c r="AL386" s="514"/>
      <c r="AM386" s="106"/>
      <c r="AN386" s="106"/>
      <c r="AO386" s="65"/>
      <c r="AP386" s="65"/>
      <c r="AQ386" s="65"/>
      <c r="AR386" s="65"/>
      <c r="AS386" s="65"/>
      <c r="AT386" s="65"/>
      <c r="AU386" s="65"/>
      <c r="AV386" s="65"/>
      <c r="AW386" s="65"/>
    </row>
    <row r="387" spans="1:1026">
      <c r="A387" s="144"/>
      <c r="B387" s="680"/>
      <c r="C387" s="680"/>
      <c r="D387" s="680"/>
      <c r="E387" s="676"/>
      <c r="F387" s="680"/>
      <c r="G387" s="145"/>
      <c r="H387" s="146" t="s">
        <v>394</v>
      </c>
      <c r="I387" s="147">
        <f t="shared" ref="I387:P387" si="141">SUM(I384:I386)</f>
        <v>29500</v>
      </c>
      <c r="J387" s="148">
        <f t="shared" si="141"/>
        <v>30470.080000000002</v>
      </c>
      <c r="K387" s="147">
        <f t="shared" si="141"/>
        <v>29500</v>
      </c>
      <c r="L387" s="148">
        <f t="shared" si="141"/>
        <v>19772.669999999998</v>
      </c>
      <c r="M387" s="147">
        <f t="shared" si="141"/>
        <v>29500</v>
      </c>
      <c r="N387" s="148">
        <f t="shared" si="141"/>
        <v>35973.03</v>
      </c>
      <c r="O387" s="149">
        <f t="shared" si="141"/>
        <v>29500</v>
      </c>
      <c r="P387" s="150">
        <f t="shared" si="141"/>
        <v>13694.17</v>
      </c>
      <c r="Q387" s="149">
        <v>43500</v>
      </c>
      <c r="R387" s="150">
        <f>SUM(R384:R386)</f>
        <v>20923.810000000001</v>
      </c>
      <c r="S387" s="151">
        <f>SUM(S384:S386)</f>
        <v>50500</v>
      </c>
      <c r="T387" s="151">
        <f>SUM(T384:T386)</f>
        <v>50500</v>
      </c>
      <c r="U387" s="151"/>
      <c r="V387" s="151">
        <f>SUM(V384:V386)</f>
        <v>50500</v>
      </c>
      <c r="W387" s="152">
        <f>SUM(W384:W386)</f>
        <v>-22124.010000000002</v>
      </c>
      <c r="X387" s="153">
        <f>SUM(X384:X386)</f>
        <v>50500</v>
      </c>
      <c r="Y387" s="190">
        <v>-10778.61</v>
      </c>
      <c r="Z387" s="153">
        <f>SUM(Z384:Z386)</f>
        <v>51000</v>
      </c>
      <c r="AA387" s="153">
        <f>SUM(AA384:AA386)</f>
        <v>-55732.61</v>
      </c>
      <c r="AB387" s="153">
        <f>SUM(AB384:AB386)</f>
        <v>49000</v>
      </c>
      <c r="AC387" s="155">
        <v>-52154.16</v>
      </c>
      <c r="AD387" s="153">
        <f>SUM(AD384:AD386)</f>
        <v>52000</v>
      </c>
      <c r="AE387" s="153">
        <f t="shared" ref="AE387" si="142">SUM(AE384:AE386)</f>
        <v>-59904.840000000004</v>
      </c>
      <c r="AF387" s="153">
        <f>SUM(AF384:AF386)</f>
        <v>49000</v>
      </c>
      <c r="AG387" s="153">
        <f t="shared" ref="AG387" si="143">SUM(AG384:AG386)</f>
        <v>-16477.150000000001</v>
      </c>
      <c r="AH387" s="153">
        <f>SUM(AH384:AH386)</f>
        <v>49000</v>
      </c>
      <c r="AI387" s="153">
        <f>SUM(AI384:AI386)</f>
        <v>71000</v>
      </c>
      <c r="AJ387" s="153">
        <f>SUM(AJ384:AJ386)</f>
        <v>71000</v>
      </c>
      <c r="AK387" s="702"/>
      <c r="AM387" s="106"/>
      <c r="AN387" s="106"/>
    </row>
    <row r="388" spans="1:1026">
      <c r="A388" s="80"/>
      <c r="B388" s="14"/>
      <c r="C388" s="14"/>
      <c r="D388" s="14"/>
      <c r="E388" s="15"/>
      <c r="F388" s="14"/>
      <c r="G388" s="613"/>
      <c r="H388" s="251"/>
      <c r="I388" s="94"/>
      <c r="J388" s="95"/>
      <c r="K388" s="94"/>
      <c r="L388" s="95"/>
      <c r="M388" s="94"/>
      <c r="N388" s="95"/>
      <c r="O388" s="96"/>
      <c r="P388" s="97"/>
      <c r="Q388" s="96"/>
      <c r="R388" s="97"/>
      <c r="S388" s="99"/>
      <c r="T388" s="99"/>
      <c r="U388" s="99"/>
      <c r="V388" s="99"/>
      <c r="W388" s="100"/>
      <c r="X388" s="101"/>
      <c r="Y388" s="102"/>
      <c r="Z388" s="103"/>
      <c r="AA388" s="103"/>
      <c r="AB388" s="103"/>
      <c r="AC388" s="104"/>
      <c r="AD388" s="103"/>
      <c r="AE388" s="104"/>
      <c r="AF388" s="103"/>
      <c r="AG388" s="666"/>
      <c r="AH388" s="103"/>
      <c r="AI388" s="103"/>
      <c r="AJ388" s="103"/>
      <c r="AK388" s="736"/>
      <c r="AM388" s="106"/>
      <c r="AN388" s="106"/>
    </row>
    <row r="389" spans="1:1026">
      <c r="A389" s="222"/>
      <c r="B389" s="678"/>
      <c r="C389" s="678"/>
      <c r="D389" s="678"/>
      <c r="E389" s="681"/>
      <c r="F389" s="678"/>
      <c r="G389" s="223"/>
      <c r="H389" s="224" t="s">
        <v>395</v>
      </c>
      <c r="I389" s="614">
        <f t="shared" ref="I389:P389" si="144">SUM(I379,I381,I387)</f>
        <v>153100</v>
      </c>
      <c r="J389" s="615">
        <f t="shared" si="144"/>
        <v>152763.20999999996</v>
      </c>
      <c r="K389" s="614">
        <f t="shared" si="144"/>
        <v>89500</v>
      </c>
      <c r="L389" s="615">
        <f t="shared" si="144"/>
        <v>62363.709999999992</v>
      </c>
      <c r="M389" s="614">
        <f t="shared" si="144"/>
        <v>89500</v>
      </c>
      <c r="N389" s="615">
        <f t="shared" si="144"/>
        <v>87921.93</v>
      </c>
      <c r="O389" s="616">
        <f t="shared" si="144"/>
        <v>82000</v>
      </c>
      <c r="P389" s="617">
        <f t="shared" si="144"/>
        <v>22749.07</v>
      </c>
      <c r="Q389" s="616">
        <v>97500</v>
      </c>
      <c r="R389" s="617">
        <f>SUM(R379,R381,R387)</f>
        <v>48655.53</v>
      </c>
      <c r="S389" s="618">
        <f>SUM(S379,S381,S387)</f>
        <v>101500</v>
      </c>
      <c r="T389" s="618">
        <f>SUM(T379,T381,T387)</f>
        <v>101500</v>
      </c>
      <c r="U389" s="618"/>
      <c r="V389" s="618">
        <f>SUM(V379,V381,V387)</f>
        <v>101500</v>
      </c>
      <c r="W389" s="619">
        <f>SUM(W379,W381,W387)</f>
        <v>-43755.270000000004</v>
      </c>
      <c r="X389" s="620">
        <f>SUM(X379,X381,X387)</f>
        <v>101500</v>
      </c>
      <c r="Y389" s="471">
        <v>-27615.89</v>
      </c>
      <c r="Z389" s="620">
        <f>SUM(Z379,Z381,Z387)</f>
        <v>97000</v>
      </c>
      <c r="AA389" s="620">
        <f>SUM(AA379,AA381,AA387)</f>
        <v>-98609.27</v>
      </c>
      <c r="AB389" s="620">
        <f>SUM(AB379,AB381,AB387)</f>
        <v>93500</v>
      </c>
      <c r="AC389" s="621">
        <v>-97422.25</v>
      </c>
      <c r="AD389" s="620">
        <f>SUM(AD379,AD381,AD387)</f>
        <v>102000</v>
      </c>
      <c r="AE389" s="620">
        <f t="shared" ref="AE389" si="145">SUM(AE379,AE381,AE387)</f>
        <v>-107112.53</v>
      </c>
      <c r="AF389" s="620">
        <f>SUM(AF379,AF381,AF387)</f>
        <v>115500</v>
      </c>
      <c r="AG389" s="620">
        <f t="shared" ref="AG389" si="146">SUM(AG379,AG381,AG387)</f>
        <v>-45908.62</v>
      </c>
      <c r="AH389" s="620">
        <f>SUM(AH379,AH381,AH387)</f>
        <v>115500</v>
      </c>
      <c r="AI389" s="620">
        <f>SUM(AI379,AI381,AI387)</f>
        <v>118500</v>
      </c>
      <c r="AJ389" s="620">
        <f>SUM(AJ379,AJ381,AJ387)</f>
        <v>119500</v>
      </c>
      <c r="AK389" s="708"/>
      <c r="AM389" s="106"/>
      <c r="AN389" s="106"/>
    </row>
    <row r="390" spans="1:1026">
      <c r="A390" s="80"/>
      <c r="B390" s="14"/>
      <c r="C390" s="14"/>
      <c r="D390" s="14"/>
      <c r="E390" s="15"/>
      <c r="F390" s="14"/>
      <c r="G390" s="81"/>
      <c r="H390" s="319"/>
      <c r="I390" s="193"/>
      <c r="J390" s="194"/>
      <c r="K390" s="193"/>
      <c r="L390" s="194"/>
      <c r="M390" s="193"/>
      <c r="N390" s="194"/>
      <c r="O390" s="195"/>
      <c r="P390" s="196"/>
      <c r="Q390" s="195"/>
      <c r="R390" s="196"/>
      <c r="S390" s="197"/>
      <c r="T390" s="197"/>
      <c r="U390" s="197"/>
      <c r="V390" s="197"/>
      <c r="W390" s="198"/>
      <c r="X390" s="199"/>
      <c r="Y390" s="163"/>
      <c r="Z390" s="164"/>
      <c r="AA390" s="164"/>
      <c r="AB390" s="164"/>
      <c r="AC390" s="165"/>
      <c r="AD390" s="164"/>
      <c r="AE390" s="165"/>
      <c r="AF390" s="164"/>
      <c r="AG390" s="748"/>
      <c r="AH390" s="164"/>
      <c r="AI390" s="164"/>
      <c r="AJ390" s="164"/>
      <c r="AK390" s="700"/>
      <c r="AM390" s="106"/>
      <c r="AN390" s="106"/>
    </row>
    <row r="391" spans="1:1026">
      <c r="A391" s="80"/>
      <c r="B391" s="14"/>
      <c r="C391" s="14"/>
      <c r="D391" s="14"/>
      <c r="E391" s="15"/>
      <c r="F391" s="14"/>
      <c r="G391" s="81"/>
      <c r="H391" s="513"/>
      <c r="I391" s="122"/>
      <c r="J391" s="123"/>
      <c r="K391" s="122"/>
      <c r="L391" s="123"/>
      <c r="M391" s="122"/>
      <c r="N391" s="123"/>
      <c r="O391" s="610"/>
      <c r="P391" s="611"/>
      <c r="Q391" s="610"/>
      <c r="R391" s="611"/>
      <c r="S391" s="125"/>
      <c r="T391" s="125"/>
      <c r="U391" s="125"/>
      <c r="V391" s="125"/>
      <c r="W391" s="126"/>
      <c r="X391" s="267"/>
      <c r="Y391" s="268"/>
      <c r="Z391" s="269"/>
      <c r="AA391" s="269"/>
      <c r="AB391" s="269"/>
      <c r="AC391" s="270"/>
      <c r="AD391" s="269"/>
      <c r="AE391" s="270"/>
      <c r="AF391" s="269"/>
      <c r="AG391" s="781"/>
      <c r="AH391" s="269"/>
      <c r="AI391" s="269"/>
      <c r="AJ391" s="269"/>
      <c r="AK391" s="706"/>
      <c r="AM391" s="106"/>
      <c r="AN391" s="106"/>
    </row>
    <row r="392" spans="1:1026">
      <c r="A392" s="235">
        <v>5</v>
      </c>
      <c r="B392" s="682" t="s">
        <v>16</v>
      </c>
      <c r="C392" s="682">
        <v>7</v>
      </c>
      <c r="D392" s="682" t="s">
        <v>16</v>
      </c>
      <c r="E392" s="683" t="s">
        <v>70</v>
      </c>
      <c r="F392" s="682" t="s">
        <v>16</v>
      </c>
      <c r="G392" s="236" t="s">
        <v>70</v>
      </c>
      <c r="H392" s="55" t="s">
        <v>36</v>
      </c>
      <c r="I392" s="440"/>
      <c r="J392" s="441"/>
      <c r="K392" s="440"/>
      <c r="L392" s="441"/>
      <c r="M392" s="440"/>
      <c r="N392" s="441"/>
      <c r="O392" s="622"/>
      <c r="P392" s="623"/>
      <c r="Q392" s="622"/>
      <c r="R392" s="623"/>
      <c r="S392" s="624"/>
      <c r="T392" s="624"/>
      <c r="U392" s="624"/>
      <c r="V392" s="624"/>
      <c r="W392" s="625"/>
      <c r="X392" s="626"/>
      <c r="Y392" s="627"/>
      <c r="Z392" s="628"/>
      <c r="AA392" s="628"/>
      <c r="AB392" s="628"/>
      <c r="AC392" s="629"/>
      <c r="AD392" s="628"/>
      <c r="AE392" s="629"/>
      <c r="AF392" s="628"/>
      <c r="AG392" s="783"/>
      <c r="AH392" s="628"/>
      <c r="AI392" s="628"/>
      <c r="AJ392" s="628"/>
      <c r="AK392" s="697"/>
      <c r="AL392" s="514"/>
      <c r="AM392" s="106"/>
      <c r="AN392" s="106"/>
      <c r="AO392" s="65"/>
      <c r="AP392" s="65"/>
      <c r="AQ392" s="65"/>
      <c r="AR392" s="65"/>
      <c r="AS392" s="65"/>
      <c r="AT392" s="65"/>
      <c r="AU392" s="65"/>
      <c r="AV392" s="65"/>
      <c r="AW392" s="65"/>
    </row>
    <row r="393" spans="1:1026">
      <c r="A393" s="80">
        <v>5</v>
      </c>
      <c r="B393" s="14" t="s">
        <v>16</v>
      </c>
      <c r="C393" s="14">
        <v>7</v>
      </c>
      <c r="D393" s="14" t="s">
        <v>16</v>
      </c>
      <c r="E393" s="15" t="s">
        <v>81</v>
      </c>
      <c r="F393" s="14" t="s">
        <v>16</v>
      </c>
      <c r="G393" s="81" t="s">
        <v>70</v>
      </c>
      <c r="H393" s="278" t="s">
        <v>26</v>
      </c>
      <c r="I393" s="94">
        <v>0</v>
      </c>
      <c r="J393" s="95"/>
      <c r="K393" s="94">
        <v>0</v>
      </c>
      <c r="L393" s="95"/>
      <c r="M393" s="94">
        <v>0</v>
      </c>
      <c r="N393" s="95">
        <v>0</v>
      </c>
      <c r="O393" s="96">
        <v>0</v>
      </c>
      <c r="P393" s="97">
        <v>0</v>
      </c>
      <c r="Q393" s="96">
        <v>0</v>
      </c>
      <c r="R393" s="97">
        <v>0</v>
      </c>
      <c r="S393" s="99">
        <v>0</v>
      </c>
      <c r="T393" s="99">
        <v>0</v>
      </c>
      <c r="U393" s="99">
        <v>0</v>
      </c>
      <c r="V393" s="99">
        <v>0</v>
      </c>
      <c r="W393" s="100">
        <v>0</v>
      </c>
      <c r="X393" s="101">
        <v>2000</v>
      </c>
      <c r="Y393" s="102">
        <v>0</v>
      </c>
      <c r="Z393" s="132">
        <v>2000</v>
      </c>
      <c r="AA393" s="132"/>
      <c r="AB393" s="132">
        <v>17000</v>
      </c>
      <c r="AC393" s="133">
        <v>0</v>
      </c>
      <c r="AD393" s="132">
        <v>35000</v>
      </c>
      <c r="AE393" s="133">
        <v>0</v>
      </c>
      <c r="AF393" s="841">
        <v>17000</v>
      </c>
      <c r="AG393" s="134">
        <v>0</v>
      </c>
      <c r="AH393" s="841">
        <v>17000</v>
      </c>
      <c r="AI393" s="841">
        <v>17000</v>
      </c>
      <c r="AJ393" s="1059">
        <v>14000</v>
      </c>
      <c r="AK393" s="786"/>
      <c r="AM393" s="106"/>
      <c r="AN393" s="106"/>
    </row>
    <row r="394" spans="1:1026">
      <c r="A394" s="80">
        <v>5</v>
      </c>
      <c r="B394" s="14" t="s">
        <v>16</v>
      </c>
      <c r="C394" s="14">
        <v>7</v>
      </c>
      <c r="D394" s="14" t="s">
        <v>16</v>
      </c>
      <c r="E394" s="15" t="s">
        <v>84</v>
      </c>
      <c r="F394" s="14" t="s">
        <v>16</v>
      </c>
      <c r="G394" s="81" t="s">
        <v>70</v>
      </c>
      <c r="H394" s="278" t="s">
        <v>396</v>
      </c>
      <c r="I394" s="94"/>
      <c r="J394" s="95"/>
      <c r="K394" s="94"/>
      <c r="L394" s="95"/>
      <c r="M394" s="94"/>
      <c r="N394" s="95"/>
      <c r="O394" s="96"/>
      <c r="P394" s="97"/>
      <c r="Q394" s="96"/>
      <c r="R394" s="97"/>
      <c r="S394" s="99"/>
      <c r="T394" s="99"/>
      <c r="U394" s="99"/>
      <c r="V394" s="99"/>
      <c r="W394" s="100"/>
      <c r="X394" s="101">
        <v>2000</v>
      </c>
      <c r="Y394" s="102">
        <v>0</v>
      </c>
      <c r="Z394" s="132">
        <v>2000</v>
      </c>
      <c r="AA394" s="132"/>
      <c r="AB394" s="132">
        <v>2000</v>
      </c>
      <c r="AC394" s="133">
        <v>0</v>
      </c>
      <c r="AD394" s="132">
        <v>2000</v>
      </c>
      <c r="AE394" s="133">
        <v>0</v>
      </c>
      <c r="AF394" s="132">
        <v>2000</v>
      </c>
      <c r="AG394" s="134">
        <v>0</v>
      </c>
      <c r="AH394" s="132">
        <v>2000</v>
      </c>
      <c r="AI394" s="132">
        <v>2000</v>
      </c>
      <c r="AJ394" s="132">
        <v>2000</v>
      </c>
      <c r="AK394" s="716"/>
      <c r="AM394" s="106"/>
      <c r="AN394" s="106"/>
    </row>
    <row r="395" spans="1:1026">
      <c r="A395" s="80">
        <v>5</v>
      </c>
      <c r="B395" s="14" t="s">
        <v>16</v>
      </c>
      <c r="C395" s="14">
        <v>7</v>
      </c>
      <c r="D395" s="14" t="s">
        <v>16</v>
      </c>
      <c r="E395" s="15" t="s">
        <v>86</v>
      </c>
      <c r="F395" s="14" t="s">
        <v>16</v>
      </c>
      <c r="G395" s="81" t="s">
        <v>70</v>
      </c>
      <c r="H395" s="278" t="s">
        <v>226</v>
      </c>
      <c r="I395" s="94">
        <v>0</v>
      </c>
      <c r="J395" s="95"/>
      <c r="K395" s="94">
        <v>0</v>
      </c>
      <c r="L395" s="95"/>
      <c r="M395" s="94">
        <v>0</v>
      </c>
      <c r="N395" s="95">
        <v>0</v>
      </c>
      <c r="O395" s="96">
        <v>0</v>
      </c>
      <c r="P395" s="97">
        <v>0</v>
      </c>
      <c r="Q395" s="96">
        <v>0</v>
      </c>
      <c r="R395" s="97">
        <v>0</v>
      </c>
      <c r="S395" s="99">
        <v>0</v>
      </c>
      <c r="T395" s="99">
        <v>0</v>
      </c>
      <c r="U395" s="99">
        <v>0</v>
      </c>
      <c r="V395" s="99">
        <v>0</v>
      </c>
      <c r="W395" s="100">
        <v>0</v>
      </c>
      <c r="X395" s="101">
        <v>0</v>
      </c>
      <c r="Y395" s="102">
        <v>0</v>
      </c>
      <c r="Z395" s="133">
        <v>0</v>
      </c>
      <c r="AA395" s="133">
        <v>0</v>
      </c>
      <c r="AB395" s="133">
        <v>0</v>
      </c>
      <c r="AC395" s="133">
        <v>0</v>
      </c>
      <c r="AD395" s="132">
        <v>1000</v>
      </c>
      <c r="AE395" s="133">
        <v>0</v>
      </c>
      <c r="AF395" s="132">
        <v>1000</v>
      </c>
      <c r="AG395" s="134">
        <v>0</v>
      </c>
      <c r="AH395" s="132">
        <v>1000</v>
      </c>
      <c r="AI395" s="132">
        <v>1000</v>
      </c>
      <c r="AJ395" s="132">
        <v>1000</v>
      </c>
      <c r="AK395" s="716"/>
      <c r="AM395" s="106"/>
      <c r="AN395" s="106"/>
    </row>
    <row r="396" spans="1:1026">
      <c r="A396" s="80">
        <v>5</v>
      </c>
      <c r="B396" s="14" t="s">
        <v>16</v>
      </c>
      <c r="C396" s="14">
        <v>7</v>
      </c>
      <c r="D396" s="14" t="s">
        <v>16</v>
      </c>
      <c r="E396" s="15" t="s">
        <v>73</v>
      </c>
      <c r="F396" s="14" t="s">
        <v>16</v>
      </c>
      <c r="G396" s="81" t="s">
        <v>70</v>
      </c>
      <c r="H396" s="278" t="s">
        <v>31</v>
      </c>
      <c r="I396" s="94">
        <v>0</v>
      </c>
      <c r="J396" s="95"/>
      <c r="K396" s="94">
        <v>0</v>
      </c>
      <c r="L396" s="95"/>
      <c r="M396" s="94">
        <v>0</v>
      </c>
      <c r="N396" s="95">
        <v>0</v>
      </c>
      <c r="O396" s="96">
        <v>0</v>
      </c>
      <c r="P396" s="97">
        <v>0</v>
      </c>
      <c r="Q396" s="96">
        <v>0</v>
      </c>
      <c r="R396" s="97">
        <v>0</v>
      </c>
      <c r="S396" s="99">
        <v>0</v>
      </c>
      <c r="T396" s="99">
        <v>0</v>
      </c>
      <c r="U396" s="99">
        <v>0</v>
      </c>
      <c r="V396" s="99">
        <v>0</v>
      </c>
      <c r="W396" s="100">
        <v>0</v>
      </c>
      <c r="X396" s="101">
        <v>0</v>
      </c>
      <c r="Y396" s="102">
        <v>0</v>
      </c>
      <c r="Z396" s="133">
        <v>0</v>
      </c>
      <c r="AA396" s="133">
        <v>0</v>
      </c>
      <c r="AB396" s="132">
        <v>2000</v>
      </c>
      <c r="AC396" s="133">
        <v>0</v>
      </c>
      <c r="AD396" s="132">
        <v>2000</v>
      </c>
      <c r="AE396" s="133">
        <v>0</v>
      </c>
      <c r="AF396" s="132">
        <v>2000</v>
      </c>
      <c r="AG396" s="134">
        <v>0</v>
      </c>
      <c r="AH396" s="132">
        <v>2000</v>
      </c>
      <c r="AI396" s="132">
        <v>2000</v>
      </c>
      <c r="AJ396" s="132">
        <v>2000</v>
      </c>
      <c r="AK396" s="716"/>
      <c r="AM396" s="106"/>
      <c r="AN396" s="106"/>
    </row>
    <row r="397" spans="1:1026">
      <c r="A397" s="80">
        <v>5</v>
      </c>
      <c r="B397" s="14" t="s">
        <v>16</v>
      </c>
      <c r="C397" s="14">
        <v>7</v>
      </c>
      <c r="D397" s="14" t="s">
        <v>16</v>
      </c>
      <c r="E397" s="15" t="s">
        <v>77</v>
      </c>
      <c r="F397" s="14" t="s">
        <v>16</v>
      </c>
      <c r="G397" s="81" t="s">
        <v>70</v>
      </c>
      <c r="H397" s="278" t="s">
        <v>33</v>
      </c>
      <c r="I397" s="94">
        <v>1000</v>
      </c>
      <c r="J397" s="95"/>
      <c r="K397" s="94">
        <v>1000</v>
      </c>
      <c r="L397" s="95"/>
      <c r="M397" s="94">
        <v>1000</v>
      </c>
      <c r="N397" s="95">
        <v>0</v>
      </c>
      <c r="O397" s="96">
        <v>1000</v>
      </c>
      <c r="P397" s="97">
        <v>0</v>
      </c>
      <c r="Q397" s="98">
        <v>0</v>
      </c>
      <c r="R397" s="97">
        <v>0</v>
      </c>
      <c r="S397" s="99">
        <v>0</v>
      </c>
      <c r="T397" s="99">
        <v>0</v>
      </c>
      <c r="U397" s="99">
        <v>0</v>
      </c>
      <c r="V397" s="99">
        <v>0</v>
      </c>
      <c r="W397" s="100">
        <v>0</v>
      </c>
      <c r="X397" s="101">
        <v>0</v>
      </c>
      <c r="Y397" s="102">
        <v>0</v>
      </c>
      <c r="Z397" s="133">
        <v>0</v>
      </c>
      <c r="AA397" s="133">
        <v>0</v>
      </c>
      <c r="AB397" s="133">
        <v>0</v>
      </c>
      <c r="AC397" s="133">
        <v>0</v>
      </c>
      <c r="AD397" s="132">
        <v>7000</v>
      </c>
      <c r="AE397" s="133">
        <v>0</v>
      </c>
      <c r="AF397" s="841">
        <v>7500</v>
      </c>
      <c r="AG397" s="134">
        <v>0</v>
      </c>
      <c r="AH397" s="841">
        <v>7500</v>
      </c>
      <c r="AI397" s="841">
        <v>7500</v>
      </c>
      <c r="AJ397" s="841">
        <v>7500</v>
      </c>
      <c r="AK397" s="716"/>
      <c r="AM397" s="106"/>
      <c r="AN397" s="106"/>
    </row>
    <row r="398" spans="1:1026">
      <c r="A398" s="80">
        <v>5</v>
      </c>
      <c r="B398" s="14" t="s">
        <v>16</v>
      </c>
      <c r="C398" s="14">
        <v>7</v>
      </c>
      <c r="D398" s="14" t="s">
        <v>16</v>
      </c>
      <c r="E398" s="15" t="s">
        <v>118</v>
      </c>
      <c r="F398" s="14" t="s">
        <v>16</v>
      </c>
      <c r="G398" s="81" t="s">
        <v>70</v>
      </c>
      <c r="H398" s="630" t="s">
        <v>381</v>
      </c>
      <c r="I398" s="94">
        <v>0</v>
      </c>
      <c r="J398" s="95"/>
      <c r="K398" s="94">
        <v>0</v>
      </c>
      <c r="L398" s="95"/>
      <c r="M398" s="94">
        <v>0</v>
      </c>
      <c r="N398" s="95">
        <v>0</v>
      </c>
      <c r="O398" s="96">
        <v>0</v>
      </c>
      <c r="P398" s="97">
        <v>0</v>
      </c>
      <c r="Q398" s="96">
        <v>0</v>
      </c>
      <c r="R398" s="97">
        <v>0</v>
      </c>
      <c r="S398" s="99">
        <v>0</v>
      </c>
      <c r="T398" s="99">
        <v>0</v>
      </c>
      <c r="U398" s="99">
        <v>0</v>
      </c>
      <c r="V398" s="99">
        <v>0</v>
      </c>
      <c r="W398" s="100">
        <v>0</v>
      </c>
      <c r="X398" s="101">
        <v>0</v>
      </c>
      <c r="Y398" s="102">
        <v>0</v>
      </c>
      <c r="Z398" s="133">
        <v>0</v>
      </c>
      <c r="AA398" s="133">
        <v>0</v>
      </c>
      <c r="AB398" s="132">
        <v>1000</v>
      </c>
      <c r="AC398" s="133">
        <v>0</v>
      </c>
      <c r="AD398" s="132">
        <v>1000</v>
      </c>
      <c r="AE398" s="133">
        <v>0</v>
      </c>
      <c r="AF398" s="132">
        <v>1000</v>
      </c>
      <c r="AG398" s="134">
        <v>0</v>
      </c>
      <c r="AH398" s="132">
        <v>1000</v>
      </c>
      <c r="AI398" s="132">
        <v>1000</v>
      </c>
      <c r="AJ398" s="132">
        <v>1000</v>
      </c>
      <c r="AK398" s="716"/>
      <c r="AM398" s="106"/>
      <c r="AN398" s="106"/>
    </row>
    <row r="399" spans="1:1026">
      <c r="A399" s="222"/>
      <c r="B399" s="678"/>
      <c r="C399" s="678"/>
      <c r="D399" s="678"/>
      <c r="E399" s="681"/>
      <c r="F399" s="678"/>
      <c r="G399" s="223"/>
      <c r="H399" s="224" t="s">
        <v>397</v>
      </c>
      <c r="I399" s="517">
        <f>SUM(I393:I398)</f>
        <v>1000</v>
      </c>
      <c r="J399" s="518"/>
      <c r="K399" s="517">
        <f>SUM(K393:K398)</f>
        <v>1000</v>
      </c>
      <c r="L399" s="518"/>
      <c r="M399" s="517">
        <f>SUM(M393:M398)</f>
        <v>1000</v>
      </c>
      <c r="N399" s="518">
        <f>SUM(N393:N398)</f>
        <v>0</v>
      </c>
      <c r="O399" s="519">
        <f>SUM(O393:O398)</f>
        <v>1000</v>
      </c>
      <c r="P399" s="520">
        <v>0</v>
      </c>
      <c r="Q399" s="519">
        <v>0</v>
      </c>
      <c r="R399" s="520">
        <v>0</v>
      </c>
      <c r="S399" s="521">
        <v>0</v>
      </c>
      <c r="T399" s="521">
        <v>0</v>
      </c>
      <c r="U399" s="521"/>
      <c r="V399" s="521">
        <v>0</v>
      </c>
      <c r="W399" s="522"/>
      <c r="X399" s="523">
        <f>SUM(X393:X398)</f>
        <v>4000</v>
      </c>
      <c r="Y399" s="471">
        <v>0</v>
      </c>
      <c r="Z399" s="523">
        <f>SUM(Z393:Z398)</f>
        <v>4000</v>
      </c>
      <c r="AA399" s="523">
        <f>SUM(AA393:AA398)</f>
        <v>0</v>
      </c>
      <c r="AB399" s="523">
        <f>SUM(AB393:AB398)</f>
        <v>22000</v>
      </c>
      <c r="AC399" s="525">
        <v>0</v>
      </c>
      <c r="AD399" s="523">
        <f>SUM(AD393:AD398)</f>
        <v>48000</v>
      </c>
      <c r="AE399" s="525">
        <v>0</v>
      </c>
      <c r="AF399" s="523">
        <f>SUM(AF393:AF398)</f>
        <v>30500</v>
      </c>
      <c r="AG399" s="770">
        <v>0</v>
      </c>
      <c r="AH399" s="523">
        <f>SUM(AH393:AH398)</f>
        <v>30500</v>
      </c>
      <c r="AI399" s="523">
        <f>SUM(AI393:AI398)</f>
        <v>30500</v>
      </c>
      <c r="AJ399" s="523">
        <f>SUM(AJ393:AJ398)</f>
        <v>27500</v>
      </c>
      <c r="AK399" s="708"/>
      <c r="AL399" s="514"/>
      <c r="AM399" s="106"/>
      <c r="AN399" s="106"/>
      <c r="AO399" s="65"/>
      <c r="AP399" s="65"/>
      <c r="AQ399" s="65"/>
      <c r="AR399" s="65"/>
      <c r="AS399" s="65"/>
      <c r="AT399" s="65"/>
      <c r="AU399" s="65"/>
      <c r="AV399" s="65"/>
      <c r="AW399" s="65"/>
    </row>
    <row r="400" spans="1:1026">
      <c r="A400" s="80"/>
      <c r="B400" s="14"/>
      <c r="C400" s="14"/>
      <c r="D400" s="14"/>
      <c r="E400" s="15"/>
      <c r="F400" s="14"/>
      <c r="G400" s="81"/>
      <c r="H400" s="513"/>
      <c r="I400" s="122"/>
      <c r="J400" s="123"/>
      <c r="K400" s="122"/>
      <c r="L400" s="123"/>
      <c r="M400" s="122"/>
      <c r="N400" s="123"/>
      <c r="O400" s="610"/>
      <c r="P400" s="611"/>
      <c r="Q400" s="610"/>
      <c r="R400" s="611"/>
      <c r="S400" s="125"/>
      <c r="T400" s="125"/>
      <c r="U400" s="125"/>
      <c r="V400" s="125"/>
      <c r="W400" s="126"/>
      <c r="X400" s="267"/>
      <c r="Y400" s="268"/>
      <c r="Z400" s="269"/>
      <c r="AA400" s="269"/>
      <c r="AB400" s="269"/>
      <c r="AC400" s="270"/>
      <c r="AD400" s="269"/>
      <c r="AE400" s="270"/>
      <c r="AF400" s="269"/>
      <c r="AG400" s="781"/>
      <c r="AH400" s="269"/>
      <c r="AI400" s="269"/>
      <c r="AJ400" s="269"/>
      <c r="AK400" s="706"/>
      <c r="AM400" s="106"/>
      <c r="AN400" s="106"/>
    </row>
    <row r="401" spans="1:49">
      <c r="A401" s="80"/>
      <c r="B401" s="14"/>
      <c r="C401" s="14"/>
      <c r="D401" s="14"/>
      <c r="E401" s="15"/>
      <c r="F401" s="14"/>
      <c r="G401" s="81"/>
      <c r="H401" s="251"/>
      <c r="I401" s="122"/>
      <c r="J401" s="123"/>
      <c r="K401" s="122"/>
      <c r="L401" s="123"/>
      <c r="M401" s="122"/>
      <c r="N401" s="123"/>
      <c r="O401" s="610"/>
      <c r="P401" s="611"/>
      <c r="Q401" s="610"/>
      <c r="R401" s="611"/>
      <c r="S401" s="125"/>
      <c r="T401" s="125"/>
      <c r="U401" s="125"/>
      <c r="V401" s="125"/>
      <c r="W401" s="126"/>
      <c r="X401" s="267"/>
      <c r="Y401" s="268"/>
      <c r="Z401" s="269"/>
      <c r="AA401" s="269"/>
      <c r="AB401" s="269"/>
      <c r="AC401" s="270"/>
      <c r="AD401" s="269"/>
      <c r="AE401" s="270"/>
      <c r="AF401" s="269"/>
      <c r="AG401" s="781"/>
      <c r="AH401" s="269"/>
      <c r="AI401" s="269"/>
      <c r="AJ401" s="269"/>
      <c r="AK401" s="706"/>
      <c r="AM401" s="106"/>
      <c r="AN401" s="106"/>
    </row>
    <row r="402" spans="1:49">
      <c r="A402" s="235">
        <v>5</v>
      </c>
      <c r="B402" s="682" t="s">
        <v>16</v>
      </c>
      <c r="C402" s="682">
        <v>8</v>
      </c>
      <c r="D402" s="682" t="s">
        <v>16</v>
      </c>
      <c r="E402" s="683" t="s">
        <v>70</v>
      </c>
      <c r="F402" s="682" t="s">
        <v>16</v>
      </c>
      <c r="G402" s="236" t="s">
        <v>70</v>
      </c>
      <c r="H402" s="55" t="s">
        <v>37</v>
      </c>
      <c r="I402" s="631">
        <v>0</v>
      </c>
      <c r="J402" s="528"/>
      <c r="K402" s="631">
        <v>0</v>
      </c>
      <c r="L402" s="528"/>
      <c r="M402" s="631">
        <v>0</v>
      </c>
      <c r="N402" s="528">
        <v>0</v>
      </c>
      <c r="O402" s="632">
        <v>0</v>
      </c>
      <c r="P402" s="529">
        <v>0</v>
      </c>
      <c r="Q402" s="632">
        <v>0</v>
      </c>
      <c r="R402" s="529">
        <v>0</v>
      </c>
      <c r="S402" s="633">
        <v>0</v>
      </c>
      <c r="T402" s="633">
        <v>0</v>
      </c>
      <c r="U402" s="633"/>
      <c r="V402" s="633">
        <v>0</v>
      </c>
      <c r="W402" s="530"/>
      <c r="X402" s="634">
        <v>0</v>
      </c>
      <c r="Y402" s="63">
        <v>0</v>
      </c>
      <c r="Z402" s="64">
        <v>0</v>
      </c>
      <c r="AA402" s="64">
        <v>0</v>
      </c>
      <c r="AB402" s="64">
        <v>0</v>
      </c>
      <c r="AC402" s="237">
        <v>0</v>
      </c>
      <c r="AD402" s="64">
        <v>0</v>
      </c>
      <c r="AE402" s="237">
        <v>0</v>
      </c>
      <c r="AF402" s="64">
        <v>0</v>
      </c>
      <c r="AG402" s="742">
        <v>0</v>
      </c>
      <c r="AH402" s="64">
        <v>0</v>
      </c>
      <c r="AI402" s="64">
        <v>0</v>
      </c>
      <c r="AJ402" s="64">
        <v>0</v>
      </c>
      <c r="AK402" s="697"/>
      <c r="AM402" s="106"/>
      <c r="AN402" s="106"/>
    </row>
    <row r="403" spans="1:49">
      <c r="A403" s="80">
        <v>5</v>
      </c>
      <c r="B403" s="14" t="s">
        <v>16</v>
      </c>
      <c r="C403" s="14">
        <v>8</v>
      </c>
      <c r="D403" s="14" t="s">
        <v>16</v>
      </c>
      <c r="E403" s="15" t="s">
        <v>81</v>
      </c>
      <c r="F403" s="14" t="s">
        <v>16</v>
      </c>
      <c r="G403" s="81" t="s">
        <v>70</v>
      </c>
      <c r="H403" s="93" t="s">
        <v>398</v>
      </c>
      <c r="I403" s="320"/>
      <c r="J403" s="321"/>
      <c r="K403" s="320">
        <v>0</v>
      </c>
      <c r="L403" s="321"/>
      <c r="M403" s="320">
        <v>0</v>
      </c>
      <c r="N403" s="321">
        <v>0</v>
      </c>
      <c r="O403" s="322">
        <v>0</v>
      </c>
      <c r="P403" s="323">
        <v>0</v>
      </c>
      <c r="Q403" s="322">
        <v>0</v>
      </c>
      <c r="R403" s="323">
        <v>0</v>
      </c>
      <c r="S403" s="324">
        <v>0</v>
      </c>
      <c r="T403" s="324">
        <v>0</v>
      </c>
      <c r="U403" s="324">
        <v>0</v>
      </c>
      <c r="V403" s="324">
        <v>0</v>
      </c>
      <c r="W403" s="325"/>
      <c r="X403" s="326">
        <v>0</v>
      </c>
      <c r="Y403" s="116">
        <v>0</v>
      </c>
      <c r="Z403" s="117">
        <v>0</v>
      </c>
      <c r="AA403" s="117">
        <v>0</v>
      </c>
      <c r="AB403" s="117">
        <v>0</v>
      </c>
      <c r="AC403" s="118">
        <v>0</v>
      </c>
      <c r="AD403" s="117">
        <v>0</v>
      </c>
      <c r="AE403" s="118">
        <v>0</v>
      </c>
      <c r="AF403" s="117">
        <f>0</f>
        <v>0</v>
      </c>
      <c r="AG403" s="745">
        <v>0</v>
      </c>
      <c r="AH403" s="117">
        <f>0</f>
        <v>0</v>
      </c>
      <c r="AI403" s="117">
        <f>0</f>
        <v>0</v>
      </c>
      <c r="AJ403" s="117">
        <f>0</f>
        <v>0</v>
      </c>
      <c r="AK403" s="700"/>
      <c r="AM403" s="106"/>
      <c r="AN403" s="106"/>
    </row>
    <row r="404" spans="1:49">
      <c r="A404" s="80">
        <v>5</v>
      </c>
      <c r="B404" s="14" t="s">
        <v>16</v>
      </c>
      <c r="C404" s="14">
        <v>8</v>
      </c>
      <c r="D404" s="14" t="s">
        <v>16</v>
      </c>
      <c r="E404" s="15" t="s">
        <v>84</v>
      </c>
      <c r="F404" s="14" t="s">
        <v>16</v>
      </c>
      <c r="G404" s="81" t="s">
        <v>70</v>
      </c>
      <c r="H404" s="93" t="s">
        <v>399</v>
      </c>
      <c r="I404" s="320">
        <v>120000</v>
      </c>
      <c r="J404" s="321"/>
      <c r="K404" s="320">
        <v>0</v>
      </c>
      <c r="L404" s="321"/>
      <c r="M404" s="320">
        <v>0</v>
      </c>
      <c r="N404" s="321">
        <v>0</v>
      </c>
      <c r="O404" s="322">
        <v>0</v>
      </c>
      <c r="P404" s="323">
        <v>0</v>
      </c>
      <c r="Q404" s="322">
        <v>0</v>
      </c>
      <c r="R404" s="323">
        <v>0</v>
      </c>
      <c r="S404" s="324">
        <v>0</v>
      </c>
      <c r="T404" s="324">
        <v>0</v>
      </c>
      <c r="U404" s="324">
        <v>0</v>
      </c>
      <c r="V404" s="324">
        <v>0</v>
      </c>
      <c r="W404" s="325"/>
      <c r="X404" s="326">
        <v>0</v>
      </c>
      <c r="Y404" s="116">
        <v>0</v>
      </c>
      <c r="Z404" s="117">
        <v>0</v>
      </c>
      <c r="AA404" s="117">
        <v>0</v>
      </c>
      <c r="AB404" s="117">
        <v>0</v>
      </c>
      <c r="AC404" s="118">
        <v>0</v>
      </c>
      <c r="AD404" s="117">
        <v>0</v>
      </c>
      <c r="AE404" s="118">
        <v>0</v>
      </c>
      <c r="AF404" s="117">
        <v>0</v>
      </c>
      <c r="AG404" s="745">
        <v>0</v>
      </c>
      <c r="AH404" s="117">
        <v>0</v>
      </c>
      <c r="AI404" s="117">
        <v>0</v>
      </c>
      <c r="AJ404" s="117">
        <v>0</v>
      </c>
      <c r="AK404" s="700"/>
      <c r="AL404" s="514"/>
      <c r="AM404" s="106"/>
      <c r="AN404" s="106"/>
      <c r="AO404" s="65"/>
      <c r="AP404" s="65"/>
      <c r="AQ404" s="65"/>
      <c r="AR404" s="65"/>
      <c r="AS404" s="65"/>
      <c r="AT404" s="65"/>
      <c r="AU404" s="65"/>
      <c r="AV404" s="65"/>
      <c r="AW404" s="65"/>
    </row>
    <row r="405" spans="1:49">
      <c r="A405" s="222"/>
      <c r="B405" s="678"/>
      <c r="C405" s="678"/>
      <c r="D405" s="678"/>
      <c r="E405" s="681"/>
      <c r="F405" s="678"/>
      <c r="G405" s="223"/>
      <c r="H405" s="224" t="s">
        <v>400</v>
      </c>
      <c r="I405" s="517">
        <f t="shared" ref="I405:P405" si="147">SUM(I402:I404)</f>
        <v>120000</v>
      </c>
      <c r="J405" s="518">
        <f t="shared" si="147"/>
        <v>0</v>
      </c>
      <c r="K405" s="517">
        <f t="shared" si="147"/>
        <v>0</v>
      </c>
      <c r="L405" s="518">
        <f t="shared" si="147"/>
        <v>0</v>
      </c>
      <c r="M405" s="517">
        <f t="shared" si="147"/>
        <v>0</v>
      </c>
      <c r="N405" s="518">
        <f t="shared" si="147"/>
        <v>0</v>
      </c>
      <c r="O405" s="519">
        <f t="shared" si="147"/>
        <v>0</v>
      </c>
      <c r="P405" s="520">
        <f t="shared" si="147"/>
        <v>0</v>
      </c>
      <c r="Q405" s="519">
        <v>0</v>
      </c>
      <c r="R405" s="520">
        <f>SUM(R402:R404)</f>
        <v>0</v>
      </c>
      <c r="S405" s="521">
        <v>0</v>
      </c>
      <c r="T405" s="521">
        <v>0</v>
      </c>
      <c r="U405" s="521"/>
      <c r="V405" s="521">
        <v>0</v>
      </c>
      <c r="W405" s="522"/>
      <c r="X405" s="523">
        <v>0</v>
      </c>
      <c r="Y405" s="471">
        <v>0</v>
      </c>
      <c r="Z405" s="635">
        <v>0</v>
      </c>
      <c r="AA405" s="635">
        <v>0</v>
      </c>
      <c r="AB405" s="635">
        <v>0</v>
      </c>
      <c r="AC405" s="636">
        <v>0</v>
      </c>
      <c r="AD405" s="635">
        <v>0</v>
      </c>
      <c r="AE405" s="636">
        <v>0</v>
      </c>
      <c r="AF405" s="635">
        <f>AF403+AF404</f>
        <v>0</v>
      </c>
      <c r="AG405" s="784">
        <v>0</v>
      </c>
      <c r="AH405" s="635">
        <f>AH403+AH404</f>
        <v>0</v>
      </c>
      <c r="AI405" s="635">
        <f>AI403+AI404</f>
        <v>0</v>
      </c>
      <c r="AJ405" s="635">
        <f>AJ403+AJ404</f>
        <v>0</v>
      </c>
      <c r="AK405" s="708"/>
      <c r="AM405" s="106"/>
      <c r="AN405" s="106"/>
    </row>
    <row r="406" spans="1:49">
      <c r="A406" s="80"/>
      <c r="B406" s="14"/>
      <c r="C406" s="14"/>
      <c r="D406" s="14"/>
      <c r="E406" s="15"/>
      <c r="F406" s="14"/>
      <c r="G406" s="81"/>
      <c r="H406" s="319"/>
      <c r="I406" s="599"/>
      <c r="J406" s="600"/>
      <c r="K406" s="599"/>
      <c r="L406" s="600"/>
      <c r="M406" s="599"/>
      <c r="N406" s="600"/>
      <c r="O406" s="601"/>
      <c r="P406" s="602"/>
      <c r="Q406" s="601"/>
      <c r="R406" s="602"/>
      <c r="S406" s="603"/>
      <c r="T406" s="603"/>
      <c r="U406" s="603"/>
      <c r="V406" s="603"/>
      <c r="W406" s="604"/>
      <c r="X406" s="605"/>
      <c r="Y406" s="163"/>
      <c r="Z406" s="164"/>
      <c r="AA406" s="164"/>
      <c r="AB406" s="164"/>
      <c r="AC406" s="165"/>
      <c r="AD406" s="164"/>
      <c r="AE406" s="165"/>
      <c r="AF406" s="164"/>
      <c r="AG406" s="748"/>
      <c r="AH406" s="164"/>
      <c r="AI406" s="164"/>
      <c r="AJ406" s="164"/>
      <c r="AK406" s="700"/>
      <c r="AM406" s="106"/>
      <c r="AN406" s="106"/>
    </row>
    <row r="407" spans="1:49">
      <c r="A407" s="80"/>
      <c r="B407" s="14"/>
      <c r="C407" s="14"/>
      <c r="D407" s="14"/>
      <c r="E407" s="15"/>
      <c r="F407" s="14"/>
      <c r="G407" s="81"/>
      <c r="H407" s="278"/>
      <c r="I407" s="122"/>
      <c r="J407" s="123"/>
      <c r="K407" s="122"/>
      <c r="L407" s="123"/>
      <c r="M407" s="122"/>
      <c r="N407" s="123"/>
      <c r="O407" s="610"/>
      <c r="P407" s="611"/>
      <c r="Q407" s="610"/>
      <c r="R407" s="611"/>
      <c r="S407" s="125"/>
      <c r="T407" s="125"/>
      <c r="U407" s="125"/>
      <c r="V407" s="125"/>
      <c r="W407" s="126"/>
      <c r="X407" s="267"/>
      <c r="Y407" s="268"/>
      <c r="Z407" s="269"/>
      <c r="AA407" s="269"/>
      <c r="AB407" s="269"/>
      <c r="AC407" s="270"/>
      <c r="AD407" s="269"/>
      <c r="AE407" s="270"/>
      <c r="AF407" s="269"/>
      <c r="AG407" s="781"/>
      <c r="AH407" s="269"/>
      <c r="AI407" s="269"/>
      <c r="AJ407" s="269"/>
      <c r="AK407" s="706"/>
      <c r="AM407" s="106"/>
      <c r="AN407" s="106"/>
    </row>
    <row r="408" spans="1:49">
      <c r="A408" s="80">
        <v>5</v>
      </c>
      <c r="B408" s="14" t="s">
        <v>16</v>
      </c>
      <c r="C408" s="14">
        <v>9</v>
      </c>
      <c r="D408" s="14" t="s">
        <v>16</v>
      </c>
      <c r="E408" s="15" t="s">
        <v>70</v>
      </c>
      <c r="F408" s="14" t="s">
        <v>16</v>
      </c>
      <c r="G408" s="81" t="s">
        <v>70</v>
      </c>
      <c r="H408" s="278" t="s">
        <v>401</v>
      </c>
      <c r="I408" s="396">
        <v>0</v>
      </c>
      <c r="J408" s="397"/>
      <c r="K408" s="396">
        <v>0</v>
      </c>
      <c r="L408" s="397"/>
      <c r="M408" s="396">
        <v>0</v>
      </c>
      <c r="N408" s="397">
        <v>0</v>
      </c>
      <c r="O408" s="427">
        <v>0</v>
      </c>
      <c r="P408" s="428"/>
      <c r="Q408" s="427">
        <v>0</v>
      </c>
      <c r="R408" s="428">
        <v>0</v>
      </c>
      <c r="S408" s="429"/>
      <c r="T408" s="429"/>
      <c r="U408" s="429"/>
      <c r="V408" s="429"/>
      <c r="W408" s="430"/>
      <c r="X408" s="431"/>
      <c r="Y408" s="286"/>
      <c r="Z408" s="287"/>
      <c r="AA408" s="287"/>
      <c r="AB408" s="287"/>
      <c r="AC408" s="288"/>
      <c r="AD408" s="287"/>
      <c r="AE408" s="288"/>
      <c r="AF408" s="287"/>
      <c r="AG408" s="753"/>
      <c r="AH408" s="287"/>
      <c r="AI408" s="287"/>
      <c r="AJ408" s="287"/>
      <c r="AK408" s="706"/>
      <c r="AM408" s="106"/>
      <c r="AN408" s="106"/>
    </row>
    <row r="409" spans="1:49">
      <c r="A409" s="80"/>
      <c r="B409" s="14"/>
      <c r="C409" s="14"/>
      <c r="D409" s="14"/>
      <c r="E409" s="15"/>
      <c r="F409" s="14"/>
      <c r="G409" s="81"/>
      <c r="H409" s="278"/>
      <c r="I409" s="396"/>
      <c r="J409" s="397"/>
      <c r="K409" s="396"/>
      <c r="L409" s="397"/>
      <c r="M409" s="397"/>
      <c r="N409" s="397"/>
      <c r="O409" s="427"/>
      <c r="P409" s="428"/>
      <c r="Q409" s="427"/>
      <c r="R409" s="428"/>
      <c r="S409" s="429"/>
      <c r="T409" s="429"/>
      <c r="U409" s="429"/>
      <c r="V409" s="429"/>
      <c r="W409" s="430"/>
      <c r="X409" s="431"/>
      <c r="Y409" s="286"/>
      <c r="Z409" s="287"/>
      <c r="AA409" s="287"/>
      <c r="AB409" s="287"/>
      <c r="AC409" s="288"/>
      <c r="AD409" s="287"/>
      <c r="AE409" s="288"/>
      <c r="AF409" s="287"/>
      <c r="AG409" s="753"/>
      <c r="AH409" s="287"/>
      <c r="AI409" s="287"/>
      <c r="AJ409" s="287"/>
      <c r="AK409" s="706"/>
      <c r="AM409" s="106"/>
      <c r="AN409" s="106"/>
    </row>
    <row r="410" spans="1:49">
      <c r="A410" s="80"/>
      <c r="B410" s="14"/>
      <c r="C410" s="14"/>
      <c r="D410" s="14"/>
      <c r="E410" s="15"/>
      <c r="F410" s="14"/>
      <c r="G410" s="81"/>
      <c r="H410" s="278"/>
      <c r="I410" s="396"/>
      <c r="J410" s="397"/>
      <c r="K410" s="396"/>
      <c r="L410" s="397"/>
      <c r="M410" s="397"/>
      <c r="N410" s="397"/>
      <c r="O410" s="427"/>
      <c r="P410" s="428"/>
      <c r="Q410" s="427"/>
      <c r="R410" s="428"/>
      <c r="S410" s="429"/>
      <c r="T410" s="429"/>
      <c r="U410" s="429"/>
      <c r="V410" s="429"/>
      <c r="W410" s="430"/>
      <c r="X410" s="431"/>
      <c r="Y410" s="286"/>
      <c r="Z410" s="287"/>
      <c r="AA410" s="287"/>
      <c r="AB410" s="287"/>
      <c r="AC410" s="288"/>
      <c r="AD410" s="287"/>
      <c r="AE410" s="288"/>
      <c r="AF410" s="287"/>
      <c r="AG410" s="753"/>
      <c r="AH410" s="287"/>
      <c r="AI410" s="287"/>
      <c r="AJ410" s="287"/>
      <c r="AK410" s="706"/>
      <c r="AM410" s="106"/>
      <c r="AN410" s="106"/>
    </row>
    <row r="411" spans="1:49">
      <c r="A411" s="235"/>
      <c r="B411" s="682"/>
      <c r="C411" s="682"/>
      <c r="D411" s="682"/>
      <c r="E411" s="683"/>
      <c r="F411" s="682"/>
      <c r="G411" s="236"/>
      <c r="H411" s="637" t="s">
        <v>402</v>
      </c>
      <c r="I411" s="638">
        <f>I177+I201+I237+I266+I371+I389+I399+I405</f>
        <v>1169428</v>
      </c>
      <c r="J411" s="639">
        <f>J177+J201+J237+J266+J371+J389+J399</f>
        <v>983111.29999999993</v>
      </c>
      <c r="K411" s="638">
        <f>K177+K201+K237+K266+K371+K389+K399+K405</f>
        <v>1054480</v>
      </c>
      <c r="L411" s="639">
        <f>L177+L201+L237+L266+L371+L389+L399</f>
        <v>676754.6399999999</v>
      </c>
      <c r="M411" s="638">
        <f>M177+M201+M237+M266+M371+M389+M399+M405</f>
        <v>1047758.3999999999</v>
      </c>
      <c r="N411" s="639">
        <v>947271.28</v>
      </c>
      <c r="O411" s="640">
        <f>O177+O201+O237+O266+O371+O389+O399+O405</f>
        <v>1070230</v>
      </c>
      <c r="P411" s="641">
        <f>P177+P201+P237+P266+P371+P389+P399+P405</f>
        <v>501178.66999999993</v>
      </c>
      <c r="Q411" s="640">
        <v>1090973.1299999999</v>
      </c>
      <c r="R411" s="641">
        <f>R177+R201+R237+R266+R371+R389+R399+R405</f>
        <v>731601.41</v>
      </c>
      <c r="S411" s="642">
        <f>S177+S201+S237+S266+S371+S389+S399+S405</f>
        <v>1185660</v>
      </c>
      <c r="T411" s="642">
        <f>T177+T201+T237+T266+T371+T389+T399+T405</f>
        <v>1186460</v>
      </c>
      <c r="U411" s="642"/>
      <c r="V411" s="642">
        <f t="shared" ref="V411:AG411" si="148">V177+V201+V237+V266+V371+V389+V399+V405</f>
        <v>15598080</v>
      </c>
      <c r="W411" s="643">
        <f t="shared" si="148"/>
        <v>-702066.74</v>
      </c>
      <c r="X411" s="644">
        <f t="shared" si="148"/>
        <v>1202190</v>
      </c>
      <c r="Y411" s="645">
        <f t="shared" si="148"/>
        <v>-424678.31000000006</v>
      </c>
      <c r="Z411" s="644">
        <f t="shared" si="148"/>
        <v>1256260</v>
      </c>
      <c r="AA411" s="644">
        <f t="shared" ref="AA411" si="149">AA177+AA201+AA237+AA266+AA371+AA389+AA399+AA405</f>
        <v>-1171119.73</v>
      </c>
      <c r="AB411" s="644">
        <f t="shared" si="148"/>
        <v>1378190</v>
      </c>
      <c r="AC411" s="646">
        <f t="shared" ref="AC411" si="150">AC177+AC201+AC237+AC266+AC371+AC389+AC399+AC405</f>
        <v>-1158799.93</v>
      </c>
      <c r="AD411" s="644">
        <f t="shared" si="148"/>
        <v>1441070</v>
      </c>
      <c r="AE411" s="646">
        <f t="shared" ref="AE411" si="151">AE177+AE201+AE237+AE266+AE371+AE389+AE399+AE405</f>
        <v>-1393715</v>
      </c>
      <c r="AF411" s="644">
        <f>AF177+AF201+AF237+AF266+AF371+AF389+AF399+AF405</f>
        <v>1551940</v>
      </c>
      <c r="AG411" s="647">
        <f t="shared" si="148"/>
        <v>-578657.54999999993</v>
      </c>
      <c r="AH411" s="644">
        <f>AH177+AH201+AH237+AH266+AH371+AH389+AH399+AH405</f>
        <v>1564081.24</v>
      </c>
      <c r="AI411" s="644">
        <f>AI177+AI201+AI237+AI266+AI371+AI389+AI399+AI405</f>
        <v>1601066</v>
      </c>
      <c r="AJ411" s="644">
        <f>AJ177+AJ201+AJ237+AJ266+AJ371+AJ389+AJ399+AJ405</f>
        <v>1598102</v>
      </c>
      <c r="AK411" s="697"/>
      <c r="AM411" s="106"/>
      <c r="AN411" s="106"/>
    </row>
    <row r="412" spans="1:49">
      <c r="A412" s="80"/>
      <c r="B412" s="14"/>
      <c r="C412" s="14"/>
      <c r="D412" s="14"/>
      <c r="E412" s="15"/>
      <c r="F412" s="14"/>
      <c r="G412" s="81"/>
      <c r="H412" s="648" t="s">
        <v>20</v>
      </c>
      <c r="I412" s="94"/>
      <c r="J412" s="95"/>
      <c r="K412" s="94"/>
      <c r="L412" s="95"/>
      <c r="M412" s="94"/>
      <c r="N412" s="95"/>
      <c r="O412" s="142"/>
      <c r="P412" s="143"/>
      <c r="Q412" s="142"/>
      <c r="R412" s="143"/>
      <c r="S412" s="99"/>
      <c r="T412" s="99"/>
      <c r="U412" s="99"/>
      <c r="V412" s="99"/>
      <c r="W412" s="100"/>
      <c r="X412" s="655"/>
      <c r="Y412" s="655"/>
      <c r="Z412" s="655"/>
      <c r="AA412" s="655"/>
      <c r="AB412" s="655"/>
      <c r="AC412" s="655"/>
      <c r="AD412" s="655"/>
      <c r="AE412" s="655"/>
      <c r="AF412" s="655"/>
      <c r="AG412" s="737"/>
      <c r="AH412" s="655"/>
      <c r="AI412" s="655"/>
      <c r="AJ412" s="655"/>
      <c r="AK412" s="737"/>
      <c r="AM412" s="106"/>
      <c r="AN412" s="106"/>
    </row>
    <row r="413" spans="1:49">
      <c r="A413" s="80"/>
      <c r="B413" s="14"/>
      <c r="C413" s="14"/>
      <c r="D413" s="14"/>
      <c r="E413" s="15"/>
      <c r="F413" s="14"/>
      <c r="G413" s="81"/>
      <c r="H413" s="648" t="s">
        <v>403</v>
      </c>
      <c r="I413" s="649">
        <f t="shared" ref="I413:P413" si="152">SUM(I17)</f>
        <v>44000</v>
      </c>
      <c r="J413" s="650">
        <f t="shared" si="152"/>
        <v>40430.42</v>
      </c>
      <c r="K413" s="649">
        <f t="shared" si="152"/>
        <v>55000</v>
      </c>
      <c r="L413" s="650">
        <f t="shared" si="152"/>
        <v>20231.18</v>
      </c>
      <c r="M413" s="649">
        <f t="shared" si="152"/>
        <v>47500</v>
      </c>
      <c r="N413" s="650">
        <f t="shared" si="152"/>
        <v>24786.13</v>
      </c>
      <c r="O413" s="651">
        <f t="shared" si="152"/>
        <v>44000</v>
      </c>
      <c r="P413" s="652">
        <f t="shared" si="152"/>
        <v>13485.3</v>
      </c>
      <c r="Q413" s="651">
        <v>38000</v>
      </c>
      <c r="R413" s="652">
        <f>SUM(R17)</f>
        <v>18157.309999999998</v>
      </c>
      <c r="S413" s="653">
        <f>SUM(S17)</f>
        <v>42000</v>
      </c>
      <c r="T413" s="653">
        <f>SUM(T17)</f>
        <v>42000</v>
      </c>
      <c r="U413" s="653"/>
      <c r="V413" s="653">
        <f t="shared" ref="V413:AH413" si="153">SUM(V17)</f>
        <v>42000</v>
      </c>
      <c r="W413" s="654">
        <f t="shared" si="153"/>
        <v>18545.149999999998</v>
      </c>
      <c r="X413" s="655">
        <f t="shared" si="153"/>
        <v>33500</v>
      </c>
      <c r="Y413" s="656">
        <f t="shared" si="153"/>
        <v>58020.729999999996</v>
      </c>
      <c r="Z413" s="655">
        <f t="shared" si="153"/>
        <v>78500</v>
      </c>
      <c r="AA413" s="655">
        <f t="shared" ref="AA413" si="154">SUM(AA17)</f>
        <v>85242.91</v>
      </c>
      <c r="AB413" s="655">
        <f t="shared" si="153"/>
        <v>29500</v>
      </c>
      <c r="AC413" s="657">
        <f t="shared" si="153"/>
        <v>85242.91</v>
      </c>
      <c r="AD413" s="655">
        <f t="shared" si="153"/>
        <v>63500</v>
      </c>
      <c r="AE413" s="657">
        <f t="shared" si="153"/>
        <v>40390.17</v>
      </c>
      <c r="AF413" s="655">
        <f t="shared" si="153"/>
        <v>63500</v>
      </c>
      <c r="AG413" s="785">
        <f t="shared" si="153"/>
        <v>38039.19</v>
      </c>
      <c r="AH413" s="655">
        <f t="shared" si="153"/>
        <v>58819.19</v>
      </c>
      <c r="AI413" s="655">
        <f t="shared" ref="AI413:AJ413" si="155">SUM(AI17)</f>
        <v>37500</v>
      </c>
      <c r="AJ413" s="655">
        <f t="shared" si="155"/>
        <v>37500</v>
      </c>
      <c r="AK413" s="737"/>
      <c r="AM413" s="106"/>
      <c r="AN413" s="106"/>
    </row>
    <row r="414" spans="1:49">
      <c r="A414" s="80"/>
      <c r="B414" s="14"/>
      <c r="C414" s="14"/>
      <c r="D414" s="14"/>
      <c r="E414" s="15"/>
      <c r="F414" s="14"/>
      <c r="G414" s="81"/>
      <c r="H414" s="648" t="s">
        <v>404</v>
      </c>
      <c r="I414" s="649">
        <f t="shared" ref="I414:P414" si="156">I31</f>
        <v>924379</v>
      </c>
      <c r="J414" s="650">
        <f t="shared" si="156"/>
        <v>925751.71</v>
      </c>
      <c r="K414" s="649">
        <f t="shared" si="156"/>
        <v>975180</v>
      </c>
      <c r="L414" s="650">
        <f t="shared" si="156"/>
        <v>868441.32</v>
      </c>
      <c r="M414" s="649">
        <f t="shared" si="156"/>
        <v>975180</v>
      </c>
      <c r="N414" s="650">
        <f t="shared" si="156"/>
        <v>988256.91999999993</v>
      </c>
      <c r="O414" s="651">
        <f t="shared" si="156"/>
        <v>988110</v>
      </c>
      <c r="P414" s="652">
        <f t="shared" si="156"/>
        <v>720000</v>
      </c>
      <c r="Q414" s="651">
        <v>1003873</v>
      </c>
      <c r="R414" s="652">
        <f>R31</f>
        <v>881059</v>
      </c>
      <c r="S414" s="653">
        <f>S31</f>
        <v>1110404</v>
      </c>
      <c r="T414" s="653">
        <f>T31</f>
        <v>1110404</v>
      </c>
      <c r="U414" s="653"/>
      <c r="V414" s="653">
        <f t="shared" ref="V414:AH414" si="157">V31</f>
        <v>1110404</v>
      </c>
      <c r="W414" s="654">
        <f t="shared" si="157"/>
        <v>969052.14</v>
      </c>
      <c r="X414" s="655">
        <f t="shared" si="157"/>
        <v>1110404</v>
      </c>
      <c r="Y414" s="656">
        <f t="shared" si="157"/>
        <v>399000</v>
      </c>
      <c r="Z414" s="655">
        <f t="shared" si="157"/>
        <v>1110404</v>
      </c>
      <c r="AA414" s="655">
        <f t="shared" ref="AA414" si="158">AA31</f>
        <v>1078978.9400000002</v>
      </c>
      <c r="AB414" s="655">
        <f t="shared" si="157"/>
        <v>1239796.7921052631</v>
      </c>
      <c r="AC414" s="657">
        <f t="shared" si="157"/>
        <v>1079100.19</v>
      </c>
      <c r="AD414" s="655">
        <f t="shared" si="157"/>
        <v>1239796.7921052631</v>
      </c>
      <c r="AE414" s="657">
        <f t="shared" si="157"/>
        <v>1210921.5</v>
      </c>
      <c r="AF414" s="655">
        <f t="shared" si="157"/>
        <v>1488298.6842105263</v>
      </c>
      <c r="AG414" s="785">
        <f t="shared" si="157"/>
        <v>540000</v>
      </c>
      <c r="AH414" s="655">
        <f t="shared" si="157"/>
        <v>1488298.6842105263</v>
      </c>
      <c r="AI414" s="655">
        <f t="shared" ref="AI414:AJ414" si="159">AI31</f>
        <v>1488801.75</v>
      </c>
      <c r="AJ414" s="655">
        <f t="shared" si="159"/>
        <v>1538520.9750000001</v>
      </c>
      <c r="AK414" s="737"/>
      <c r="AM414" s="106"/>
      <c r="AN414" s="106"/>
    </row>
    <row r="415" spans="1:49" ht="25.5">
      <c r="A415" s="80"/>
      <c r="B415" s="14"/>
      <c r="C415" s="14"/>
      <c r="D415" s="14"/>
      <c r="E415" s="15"/>
      <c r="F415" s="14"/>
      <c r="G415" s="81"/>
      <c r="H415" s="658" t="s">
        <v>405</v>
      </c>
      <c r="I415" s="649">
        <f t="shared" ref="I415:P415" si="160">I33</f>
        <v>200902</v>
      </c>
      <c r="J415" s="650">
        <f t="shared" si="160"/>
        <v>11847.17</v>
      </c>
      <c r="K415" s="649">
        <f t="shared" si="160"/>
        <v>24300</v>
      </c>
      <c r="L415" s="650">
        <f t="shared" si="160"/>
        <v>0</v>
      </c>
      <c r="M415" s="649">
        <f t="shared" si="160"/>
        <v>25078.400000000001</v>
      </c>
      <c r="N415" s="650">
        <f t="shared" si="160"/>
        <v>0</v>
      </c>
      <c r="O415" s="651">
        <f t="shared" si="160"/>
        <v>36720</v>
      </c>
      <c r="P415" s="652">
        <f t="shared" si="160"/>
        <v>36720</v>
      </c>
      <c r="Q415" s="651">
        <v>49100.13</v>
      </c>
      <c r="R415" s="652">
        <f>R33</f>
        <v>0</v>
      </c>
      <c r="S415" s="653">
        <f>S33</f>
        <v>33256</v>
      </c>
      <c r="T415" s="653">
        <f>T33</f>
        <v>34056</v>
      </c>
      <c r="U415" s="653"/>
      <c r="V415" s="653">
        <f t="shared" ref="V415:AH415" si="161">V33</f>
        <v>14445676</v>
      </c>
      <c r="W415" s="654">
        <f t="shared" si="161"/>
        <v>0</v>
      </c>
      <c r="X415" s="655">
        <f t="shared" si="161"/>
        <v>58286</v>
      </c>
      <c r="Y415" s="656">
        <f t="shared" si="161"/>
        <v>0</v>
      </c>
      <c r="Z415" s="655">
        <f t="shared" si="161"/>
        <v>67356</v>
      </c>
      <c r="AA415" s="655">
        <f t="shared" ref="AA415" si="162">AA33</f>
        <v>0</v>
      </c>
      <c r="AB415" s="655">
        <f t="shared" si="161"/>
        <v>108893.2078947369</v>
      </c>
      <c r="AC415" s="657">
        <f t="shared" si="161"/>
        <v>0</v>
      </c>
      <c r="AD415" s="655">
        <f t="shared" si="161"/>
        <v>137773.2078947369</v>
      </c>
      <c r="AE415" s="657">
        <f t="shared" si="161"/>
        <v>0</v>
      </c>
      <c r="AF415" s="655">
        <f t="shared" si="161"/>
        <v>141.31578947370872</v>
      </c>
      <c r="AG415" s="785">
        <f t="shared" si="161"/>
        <v>0</v>
      </c>
      <c r="AH415" s="655">
        <f t="shared" si="161"/>
        <v>16963.365789473755</v>
      </c>
      <c r="AI415" s="655">
        <f t="shared" ref="AI415:AJ415" si="163">AI33</f>
        <v>74764.25</v>
      </c>
      <c r="AJ415" s="655">
        <f t="shared" si="163"/>
        <v>22081.024999999907</v>
      </c>
      <c r="AK415" s="737"/>
      <c r="AM415" s="106"/>
      <c r="AN415" s="106"/>
    </row>
    <row r="416" spans="1:49">
      <c r="A416" s="80"/>
      <c r="B416" s="14"/>
      <c r="C416" s="14"/>
      <c r="D416" s="14"/>
      <c r="E416" s="15"/>
      <c r="F416" s="14"/>
      <c r="G416" s="81"/>
      <c r="H416" s="648" t="s">
        <v>406</v>
      </c>
      <c r="I416" s="649">
        <f>SUM(I35)</f>
        <v>1169281</v>
      </c>
      <c r="J416" s="650">
        <f>SUM(J35)</f>
        <v>978029.3</v>
      </c>
      <c r="K416" s="649">
        <f>SUM(K35)</f>
        <v>1054480</v>
      </c>
      <c r="L416" s="650">
        <f>SUM(L35)</f>
        <v>888672.5</v>
      </c>
      <c r="M416" s="649">
        <f>SUM(M35)</f>
        <v>1047758.4</v>
      </c>
      <c r="N416" s="659" t="s">
        <v>407</v>
      </c>
      <c r="O416" s="651">
        <f>SUM(O35)</f>
        <v>1068830</v>
      </c>
      <c r="P416" s="652">
        <f>SUM(P35)</f>
        <v>770205.3</v>
      </c>
      <c r="Q416" s="651">
        <v>1090973.1299999999</v>
      </c>
      <c r="R416" s="652">
        <f>SUM(R35)</f>
        <v>899216.31</v>
      </c>
      <c r="S416" s="653">
        <f>SUM(S35)</f>
        <v>1185660</v>
      </c>
      <c r="T416" s="653">
        <f>SUM(T35)</f>
        <v>1186460</v>
      </c>
      <c r="U416" s="653"/>
      <c r="V416" s="653">
        <f t="shared" ref="V416:AH416" si="164">SUM(V35)</f>
        <v>15598080</v>
      </c>
      <c r="W416" s="654">
        <f t="shared" si="164"/>
        <v>987597.29</v>
      </c>
      <c r="X416" s="655">
        <f t="shared" si="164"/>
        <v>1202190</v>
      </c>
      <c r="Y416" s="656">
        <f t="shared" si="164"/>
        <v>457020.73</v>
      </c>
      <c r="Z416" s="655">
        <f t="shared" si="164"/>
        <v>1256260</v>
      </c>
      <c r="AA416" s="655">
        <f t="shared" ref="AA416" si="165">SUM(AA35)</f>
        <v>1164221.8500000001</v>
      </c>
      <c r="AB416" s="655">
        <f t="shared" si="164"/>
        <v>1378190</v>
      </c>
      <c r="AC416" s="657">
        <f t="shared" si="164"/>
        <v>1164343.0999999999</v>
      </c>
      <c r="AD416" s="655">
        <f t="shared" si="164"/>
        <v>1441070</v>
      </c>
      <c r="AE416" s="657">
        <f t="shared" si="164"/>
        <v>1251311.67</v>
      </c>
      <c r="AF416" s="655">
        <f t="shared" si="164"/>
        <v>1551940</v>
      </c>
      <c r="AG416" s="785">
        <f t="shared" si="164"/>
        <v>578039.18999999994</v>
      </c>
      <c r="AH416" s="655">
        <f t="shared" si="164"/>
        <v>1564081.24</v>
      </c>
      <c r="AI416" s="655">
        <f t="shared" ref="AI416:AJ416" si="166">SUM(AI35)</f>
        <v>1601066</v>
      </c>
      <c r="AJ416" s="655">
        <f t="shared" si="166"/>
        <v>1598102</v>
      </c>
      <c r="AK416" s="737"/>
      <c r="AM416" s="106"/>
      <c r="AN416" s="106"/>
    </row>
    <row r="417" spans="1:40">
      <c r="A417" s="80"/>
      <c r="B417" s="14"/>
      <c r="C417" s="14"/>
      <c r="D417" s="14"/>
      <c r="E417" s="15"/>
      <c r="F417" s="14"/>
      <c r="G417" s="81"/>
      <c r="H417" s="648" t="s">
        <v>22</v>
      </c>
      <c r="I417" s="649"/>
      <c r="J417" s="650"/>
      <c r="K417" s="649"/>
      <c r="L417" s="650"/>
      <c r="M417" s="649"/>
      <c r="N417" s="650"/>
      <c r="O417" s="651"/>
      <c r="P417" s="652"/>
      <c r="Q417" s="651"/>
      <c r="R417" s="652"/>
      <c r="S417" s="653"/>
      <c r="T417" s="653"/>
      <c r="U417" s="653"/>
      <c r="V417" s="653"/>
      <c r="W417" s="654"/>
      <c r="X417" s="655"/>
      <c r="Y417" s="656"/>
      <c r="Z417" s="655"/>
      <c r="AA417" s="655"/>
      <c r="AB417" s="655"/>
      <c r="AC417" s="657"/>
      <c r="AD417" s="655"/>
      <c r="AE417" s="657"/>
      <c r="AF417" s="655"/>
      <c r="AG417" s="785"/>
      <c r="AH417" s="655"/>
      <c r="AI417" s="655"/>
      <c r="AJ417" s="655"/>
      <c r="AK417" s="737"/>
      <c r="AM417" s="106"/>
      <c r="AN417" s="106"/>
    </row>
    <row r="418" spans="1:40">
      <c r="A418" s="80"/>
      <c r="B418" s="14"/>
      <c r="C418" s="14"/>
      <c r="D418" s="14"/>
      <c r="E418" s="15"/>
      <c r="F418" s="14"/>
      <c r="G418" s="81"/>
      <c r="H418" s="648" t="s">
        <v>408</v>
      </c>
      <c r="I418" s="649">
        <f t="shared" ref="I418:P418" si="167">SUM(I177)</f>
        <v>526244</v>
      </c>
      <c r="J418" s="650">
        <f t="shared" si="167"/>
        <v>479751.84</v>
      </c>
      <c r="K418" s="649">
        <f t="shared" si="167"/>
        <v>511700</v>
      </c>
      <c r="L418" s="650">
        <f t="shared" si="167"/>
        <v>318256.19999999995</v>
      </c>
      <c r="M418" s="649">
        <f t="shared" si="167"/>
        <v>504600</v>
      </c>
      <c r="N418" s="650">
        <f t="shared" si="167"/>
        <v>453804.48</v>
      </c>
      <c r="O418" s="651">
        <f t="shared" si="167"/>
        <v>529200</v>
      </c>
      <c r="P418" s="652">
        <f t="shared" si="167"/>
        <v>261992.58999999997</v>
      </c>
      <c r="Q418" s="651">
        <v>539167.53</v>
      </c>
      <c r="R418" s="652">
        <f>SUM(R177)</f>
        <v>398435.88999999996</v>
      </c>
      <c r="S418" s="653">
        <f>SUM(S177)</f>
        <v>609470</v>
      </c>
      <c r="T418" s="653">
        <f>SUM(T177)</f>
        <v>609470</v>
      </c>
      <c r="U418" s="653"/>
      <c r="V418" s="653">
        <f t="shared" ref="V418:AE418" si="168">SUM(V177)</f>
        <v>15018134.4</v>
      </c>
      <c r="W418" s="654">
        <f t="shared" si="168"/>
        <v>-357372.03</v>
      </c>
      <c r="X418" s="655">
        <f t="shared" si="168"/>
        <v>607060</v>
      </c>
      <c r="Y418" s="656">
        <f t="shared" si="168"/>
        <v>-206244.16000000003</v>
      </c>
      <c r="Z418" s="655">
        <f t="shared" si="168"/>
        <v>653150</v>
      </c>
      <c r="AA418" s="655">
        <f t="shared" ref="AA418" si="169">SUM(AA177)</f>
        <v>-621377.01</v>
      </c>
      <c r="AB418" s="655">
        <f t="shared" si="168"/>
        <v>759840</v>
      </c>
      <c r="AC418" s="657">
        <f t="shared" ref="AC418" si="170">SUM(AC177)</f>
        <v>-618351.75000000012</v>
      </c>
      <c r="AD418" s="655">
        <f t="shared" si="168"/>
        <v>786260</v>
      </c>
      <c r="AE418" s="655">
        <f t="shared" si="168"/>
        <v>-792902.81</v>
      </c>
      <c r="AF418" s="655">
        <f>SUM(AF177)</f>
        <v>891114</v>
      </c>
      <c r="AG418" s="655">
        <f t="shared" ref="AG418" si="171">SUM(AG177)</f>
        <v>-358580.89</v>
      </c>
      <c r="AH418" s="655">
        <f>SUM(AH177)</f>
        <v>904534</v>
      </c>
      <c r="AI418" s="655">
        <f>SUM(AI177)</f>
        <v>927640</v>
      </c>
      <c r="AJ418" s="655">
        <f>SUM(AJ177)</f>
        <v>926676</v>
      </c>
      <c r="AK418" s="737"/>
      <c r="AM418" s="106"/>
      <c r="AN418" s="106"/>
    </row>
    <row r="419" spans="1:40">
      <c r="A419" s="80"/>
      <c r="B419" s="14"/>
      <c r="C419" s="14"/>
      <c r="D419" s="14"/>
      <c r="E419" s="15"/>
      <c r="F419" s="14"/>
      <c r="G419" s="81"/>
      <c r="H419" s="648" t="s">
        <v>409</v>
      </c>
      <c r="I419" s="649">
        <f t="shared" ref="I419:P419" si="172">I201</f>
        <v>85000</v>
      </c>
      <c r="J419" s="650">
        <f t="shared" si="172"/>
        <v>80277.05</v>
      </c>
      <c r="K419" s="649">
        <f t="shared" si="172"/>
        <v>136000</v>
      </c>
      <c r="L419" s="650">
        <f t="shared" si="172"/>
        <v>92672.78</v>
      </c>
      <c r="M419" s="649">
        <f t="shared" si="172"/>
        <v>142200</v>
      </c>
      <c r="N419" s="650">
        <f t="shared" si="172"/>
        <v>118031.03000000001</v>
      </c>
      <c r="O419" s="651">
        <f t="shared" si="172"/>
        <v>140000</v>
      </c>
      <c r="P419" s="652">
        <f t="shared" si="172"/>
        <v>64035.79</v>
      </c>
      <c r="Q419" s="651">
        <v>140200</v>
      </c>
      <c r="R419" s="652">
        <f>R201</f>
        <v>92840.35</v>
      </c>
      <c r="S419" s="653">
        <f>S201</f>
        <v>145200</v>
      </c>
      <c r="T419" s="653">
        <f>T201</f>
        <v>145200</v>
      </c>
      <c r="U419" s="653"/>
      <c r="V419" s="653">
        <f t="shared" ref="V419:AD419" si="173">V201</f>
        <v>145200</v>
      </c>
      <c r="W419" s="654">
        <f t="shared" si="173"/>
        <v>-92209.510000000009</v>
      </c>
      <c r="X419" s="655">
        <f t="shared" si="173"/>
        <v>163000</v>
      </c>
      <c r="Y419" s="656">
        <f t="shared" si="173"/>
        <v>-57466.04</v>
      </c>
      <c r="Z419" s="655">
        <f t="shared" si="173"/>
        <v>163000</v>
      </c>
      <c r="AA419" s="655">
        <f t="shared" ref="AA419" si="174">AA201</f>
        <v>-136830.25</v>
      </c>
      <c r="AB419" s="655">
        <f t="shared" si="173"/>
        <v>161000</v>
      </c>
      <c r="AC419" s="657">
        <f t="shared" ref="AC419" si="175">AC201</f>
        <v>-136809.35</v>
      </c>
      <c r="AD419" s="655">
        <f t="shared" si="173"/>
        <v>156700</v>
      </c>
      <c r="AE419" s="657">
        <f t="shared" ref="AE419" si="176">AE201</f>
        <v>-149256.97</v>
      </c>
      <c r="AF419" s="655">
        <f>AF201</f>
        <v>156700</v>
      </c>
      <c r="AG419" s="785">
        <f t="shared" ref="AG419" si="177">AG201</f>
        <v>-78550.429999999993</v>
      </c>
      <c r="AH419" s="655">
        <f>AH201</f>
        <v>152421.24</v>
      </c>
      <c r="AI419" s="655">
        <f>AI201</f>
        <v>152900</v>
      </c>
      <c r="AJ419" s="655">
        <f>AJ201</f>
        <v>152900</v>
      </c>
      <c r="AK419" s="737"/>
      <c r="AM419" s="106"/>
      <c r="AN419" s="106"/>
    </row>
    <row r="420" spans="1:40">
      <c r="A420" s="80"/>
      <c r="B420" s="14"/>
      <c r="C420" s="14"/>
      <c r="D420" s="14"/>
      <c r="E420" s="15"/>
      <c r="F420" s="14"/>
      <c r="G420" s="81"/>
      <c r="H420" s="648" t="s">
        <v>410</v>
      </c>
      <c r="I420" s="649">
        <f t="shared" ref="I420:P420" si="178">SUM(I237)</f>
        <v>108562</v>
      </c>
      <c r="J420" s="650">
        <f t="shared" si="178"/>
        <v>97181.209999999992</v>
      </c>
      <c r="K420" s="649">
        <f t="shared" si="178"/>
        <v>119400</v>
      </c>
      <c r="L420" s="650">
        <f t="shared" si="178"/>
        <v>68981.14</v>
      </c>
      <c r="M420" s="649">
        <f t="shared" si="178"/>
        <v>119400</v>
      </c>
      <c r="N420" s="650">
        <f t="shared" si="178"/>
        <v>111590.54000000001</v>
      </c>
      <c r="O420" s="651">
        <f t="shared" si="178"/>
        <v>113600</v>
      </c>
      <c r="P420" s="652">
        <f t="shared" si="178"/>
        <v>50773.26</v>
      </c>
      <c r="Q420" s="651">
        <v>113600</v>
      </c>
      <c r="R420" s="652">
        <f>SUM(R237)</f>
        <v>76181.299999999988</v>
      </c>
      <c r="S420" s="653">
        <f>SUM(S237)</f>
        <v>120600</v>
      </c>
      <c r="T420" s="653">
        <f>SUM(T237)</f>
        <v>120600</v>
      </c>
      <c r="U420" s="653"/>
      <c r="V420" s="653">
        <f t="shared" ref="V420:AD420" si="179">SUM(V237)</f>
        <v>123660</v>
      </c>
      <c r="W420" s="654">
        <f t="shared" si="179"/>
        <v>-69906.84</v>
      </c>
      <c r="X420" s="655">
        <f t="shared" si="179"/>
        <v>125900</v>
      </c>
      <c r="Y420" s="656">
        <f t="shared" si="179"/>
        <v>-37994.950000000004</v>
      </c>
      <c r="Z420" s="655">
        <f t="shared" si="179"/>
        <v>137300</v>
      </c>
      <c r="AA420" s="655">
        <f t="shared" ref="AA420" si="180">SUM(AA237)</f>
        <v>-118399.83</v>
      </c>
      <c r="AB420" s="655">
        <f t="shared" si="179"/>
        <v>130000</v>
      </c>
      <c r="AC420" s="657">
        <f t="shared" ref="AC420" si="181">SUM(AC237)</f>
        <v>-121997.70999999999</v>
      </c>
      <c r="AD420" s="655">
        <f t="shared" si="179"/>
        <v>134000</v>
      </c>
      <c r="AE420" s="657">
        <f t="shared" ref="AE420" si="182">SUM(AE237)</f>
        <v>-123199.65</v>
      </c>
      <c r="AF420" s="655">
        <f>SUM(AF237)</f>
        <v>133500</v>
      </c>
      <c r="AG420" s="785">
        <f t="shared" ref="AG420" si="183">SUM(AG237)</f>
        <v>-31907.5</v>
      </c>
      <c r="AH420" s="655">
        <f>SUM(AH237)</f>
        <v>133500</v>
      </c>
      <c r="AI420" s="655">
        <f>SUM(AI237)</f>
        <v>133500</v>
      </c>
      <c r="AJ420" s="655">
        <f>SUM(AJ237)</f>
        <v>133500</v>
      </c>
      <c r="AK420" s="737"/>
      <c r="AM420" s="106"/>
      <c r="AN420" s="106"/>
    </row>
    <row r="421" spans="1:40">
      <c r="A421" s="80"/>
      <c r="B421" s="14"/>
      <c r="C421" s="14"/>
      <c r="D421" s="14"/>
      <c r="E421" s="15"/>
      <c r="F421" s="14"/>
      <c r="G421" s="81"/>
      <c r="H421" s="648" t="s">
        <v>411</v>
      </c>
      <c r="I421" s="649">
        <f t="shared" ref="I421:P421" si="184">SUM(I266)</f>
        <v>105842</v>
      </c>
      <c r="J421" s="650">
        <f t="shared" si="184"/>
        <v>104511.76</v>
      </c>
      <c r="K421" s="649">
        <f t="shared" si="184"/>
        <v>124200</v>
      </c>
      <c r="L421" s="650">
        <f t="shared" si="184"/>
        <v>103726.75</v>
      </c>
      <c r="M421" s="649">
        <f t="shared" si="184"/>
        <v>122345.20999999999</v>
      </c>
      <c r="N421" s="650">
        <f t="shared" si="184"/>
        <v>121488.10999999999</v>
      </c>
      <c r="O421" s="651">
        <f t="shared" si="184"/>
        <v>126700</v>
      </c>
      <c r="P421" s="652">
        <f t="shared" si="184"/>
        <v>97594.92</v>
      </c>
      <c r="Q421" s="651">
        <v>126625.60000000001</v>
      </c>
      <c r="R421" s="652">
        <f>SUM(R266)</f>
        <v>103791.18</v>
      </c>
      <c r="S421" s="653">
        <f>SUM(S266)</f>
        <v>134000</v>
      </c>
      <c r="T421" s="653">
        <f>SUM(T266)</f>
        <v>134000</v>
      </c>
      <c r="U421" s="653"/>
      <c r="V421" s="653">
        <f t="shared" ref="V421:AD421" si="185">SUM(V266)</f>
        <v>131315.59999999998</v>
      </c>
      <c r="W421" s="654">
        <f t="shared" si="185"/>
        <v>-105675.23999999999</v>
      </c>
      <c r="X421" s="655">
        <f t="shared" si="185"/>
        <v>134620</v>
      </c>
      <c r="Y421" s="656">
        <f t="shared" si="185"/>
        <v>-64810.93</v>
      </c>
      <c r="Z421" s="655">
        <f t="shared" si="185"/>
        <v>135220</v>
      </c>
      <c r="AA421" s="655">
        <f t="shared" ref="AA421" si="186">SUM(AA266)</f>
        <v>-114673.14</v>
      </c>
      <c r="AB421" s="655">
        <f t="shared" si="185"/>
        <v>145520</v>
      </c>
      <c r="AC421" s="657">
        <f t="shared" ref="AC421" si="187">SUM(AC266)</f>
        <v>-103008.86</v>
      </c>
      <c r="AD421" s="655">
        <f t="shared" si="185"/>
        <v>137920</v>
      </c>
      <c r="AE421" s="657">
        <f t="shared" ref="AE421" si="188">SUM(AE266)</f>
        <v>-143894.54</v>
      </c>
      <c r="AF421" s="655">
        <f>SUM(AF266)</f>
        <v>145936</v>
      </c>
      <c r="AG421" s="785">
        <f t="shared" ref="AG421" si="189">SUM(AG266)</f>
        <v>-24213.54</v>
      </c>
      <c r="AH421" s="655">
        <f>SUM(AH266)</f>
        <v>145936</v>
      </c>
      <c r="AI421" s="655">
        <f>SUM(AI266)</f>
        <v>155736</v>
      </c>
      <c r="AJ421" s="655">
        <f>SUM(AJ266)</f>
        <v>155736</v>
      </c>
      <c r="AK421" s="737"/>
      <c r="AM421" s="106"/>
      <c r="AN421" s="106"/>
    </row>
    <row r="422" spans="1:40">
      <c r="A422" s="80"/>
      <c r="B422" s="14"/>
      <c r="C422" s="14"/>
      <c r="D422" s="14"/>
      <c r="E422" s="15"/>
      <c r="F422" s="14"/>
      <c r="G422" s="81"/>
      <c r="H422" s="648" t="s">
        <v>412</v>
      </c>
      <c r="I422" s="649">
        <f t="shared" ref="I422:P422" si="190">SUM(I371)</f>
        <v>69680</v>
      </c>
      <c r="J422" s="650">
        <f t="shared" si="190"/>
        <v>68626.23000000001</v>
      </c>
      <c r="K422" s="649">
        <f t="shared" si="190"/>
        <v>72680</v>
      </c>
      <c r="L422" s="650">
        <f t="shared" si="190"/>
        <v>30754.059999999998</v>
      </c>
      <c r="M422" s="649">
        <f t="shared" si="190"/>
        <v>68713.19</v>
      </c>
      <c r="N422" s="650">
        <f t="shared" si="190"/>
        <v>53204.800000000003</v>
      </c>
      <c r="O422" s="651">
        <f t="shared" si="190"/>
        <v>77730</v>
      </c>
      <c r="P422" s="652">
        <f t="shared" si="190"/>
        <v>4033.04</v>
      </c>
      <c r="Q422" s="651">
        <v>73880</v>
      </c>
      <c r="R422" s="652">
        <f>SUM(R371)</f>
        <v>11697.16</v>
      </c>
      <c r="S422" s="653">
        <f>SUM(S371)</f>
        <v>74890</v>
      </c>
      <c r="T422" s="653">
        <f>SUM(T371)</f>
        <v>75690</v>
      </c>
      <c r="U422" s="653"/>
      <c r="V422" s="653">
        <f t="shared" ref="V422:AD422" si="191">SUM(V371)</f>
        <v>78270</v>
      </c>
      <c r="W422" s="654">
        <f t="shared" si="191"/>
        <v>-33147.85</v>
      </c>
      <c r="X422" s="655">
        <f t="shared" si="191"/>
        <v>66110</v>
      </c>
      <c r="Y422" s="656">
        <f t="shared" si="191"/>
        <v>-30546.34</v>
      </c>
      <c r="Z422" s="655">
        <f t="shared" si="191"/>
        <v>66590</v>
      </c>
      <c r="AA422" s="655">
        <f t="shared" ref="AA422" si="192">SUM(AA371)</f>
        <v>-81230.23000000001</v>
      </c>
      <c r="AB422" s="655">
        <f t="shared" si="191"/>
        <v>66330</v>
      </c>
      <c r="AC422" s="657">
        <f t="shared" ref="AC422" si="193">SUM(AC371)</f>
        <v>-81210.009999999995</v>
      </c>
      <c r="AD422" s="655">
        <f t="shared" si="191"/>
        <v>76190</v>
      </c>
      <c r="AE422" s="657">
        <f t="shared" ref="AE422" si="194">SUM(AE371)</f>
        <v>-77348.499999999985</v>
      </c>
      <c r="AF422" s="655">
        <f>SUM(AF371)</f>
        <v>78690</v>
      </c>
      <c r="AG422" s="785">
        <f t="shared" ref="AG422" si="195">SUM(AG371)</f>
        <v>-39496.57</v>
      </c>
      <c r="AH422" s="655">
        <f>SUM(AH371)</f>
        <v>81690</v>
      </c>
      <c r="AI422" s="655">
        <f>SUM(AI371)</f>
        <v>82290</v>
      </c>
      <c r="AJ422" s="655">
        <f>SUM(AJ371)</f>
        <v>82290</v>
      </c>
      <c r="AK422" s="737"/>
      <c r="AM422" s="106"/>
      <c r="AN422" s="106"/>
    </row>
    <row r="423" spans="1:40">
      <c r="A423" s="80"/>
      <c r="B423" s="14"/>
      <c r="C423" s="14"/>
      <c r="D423" s="14"/>
      <c r="E423" s="15"/>
      <c r="F423" s="14"/>
      <c r="G423" s="81"/>
      <c r="H423" s="648" t="s">
        <v>413</v>
      </c>
      <c r="I423" s="649">
        <f t="shared" ref="I423:P423" si="196">SUM(I389)</f>
        <v>153100</v>
      </c>
      <c r="J423" s="650">
        <f t="shared" si="196"/>
        <v>152763.20999999996</v>
      </c>
      <c r="K423" s="649">
        <f t="shared" si="196"/>
        <v>89500</v>
      </c>
      <c r="L423" s="650">
        <f t="shared" si="196"/>
        <v>62363.709999999992</v>
      </c>
      <c r="M423" s="649">
        <f t="shared" si="196"/>
        <v>89500</v>
      </c>
      <c r="N423" s="650">
        <f t="shared" si="196"/>
        <v>87921.93</v>
      </c>
      <c r="O423" s="651">
        <f t="shared" si="196"/>
        <v>82000</v>
      </c>
      <c r="P423" s="652">
        <f t="shared" si="196"/>
        <v>22749.07</v>
      </c>
      <c r="Q423" s="651">
        <v>97500</v>
      </c>
      <c r="R423" s="652">
        <f>SUM(R389)</f>
        <v>48655.53</v>
      </c>
      <c r="S423" s="653">
        <f>SUM(S389)</f>
        <v>101500</v>
      </c>
      <c r="T423" s="653">
        <f>SUM(T389)</f>
        <v>101500</v>
      </c>
      <c r="U423" s="653"/>
      <c r="V423" s="653">
        <f t="shared" ref="V423:AD423" si="197">SUM(V389)</f>
        <v>101500</v>
      </c>
      <c r="W423" s="654">
        <f t="shared" si="197"/>
        <v>-43755.270000000004</v>
      </c>
      <c r="X423" s="655">
        <f t="shared" si="197"/>
        <v>101500</v>
      </c>
      <c r="Y423" s="656">
        <f t="shared" si="197"/>
        <v>-27615.89</v>
      </c>
      <c r="Z423" s="655">
        <f t="shared" si="197"/>
        <v>97000</v>
      </c>
      <c r="AA423" s="655">
        <f t="shared" ref="AA423" si="198">SUM(AA389)</f>
        <v>-98609.27</v>
      </c>
      <c r="AB423" s="655">
        <f t="shared" si="197"/>
        <v>93500</v>
      </c>
      <c r="AC423" s="657">
        <f t="shared" ref="AC423" si="199">SUM(AC389)</f>
        <v>-97422.25</v>
      </c>
      <c r="AD423" s="655">
        <f t="shared" si="197"/>
        <v>102000</v>
      </c>
      <c r="AE423" s="657">
        <f t="shared" ref="AE423" si="200">SUM(AE389)</f>
        <v>-107112.53</v>
      </c>
      <c r="AF423" s="655">
        <f>SUM(AF389)</f>
        <v>115500</v>
      </c>
      <c r="AG423" s="785">
        <f t="shared" ref="AG423" si="201">SUM(AG389)</f>
        <v>-45908.62</v>
      </c>
      <c r="AH423" s="655">
        <f>SUM(AH389)</f>
        <v>115500</v>
      </c>
      <c r="AI423" s="655">
        <f>SUM(AI389)</f>
        <v>118500</v>
      </c>
      <c r="AJ423" s="655">
        <f>SUM(AJ389)</f>
        <v>119500</v>
      </c>
      <c r="AK423" s="737"/>
      <c r="AM423" s="106"/>
      <c r="AN423" s="106"/>
    </row>
    <row r="424" spans="1:40">
      <c r="A424" s="80"/>
      <c r="B424" s="14"/>
      <c r="C424" s="14"/>
      <c r="D424" s="14"/>
      <c r="E424" s="15"/>
      <c r="F424" s="14"/>
      <c r="G424" s="81"/>
      <c r="H424" s="648" t="s">
        <v>414</v>
      </c>
      <c r="I424" s="649">
        <f t="shared" ref="I424:P424" si="202">I399</f>
        <v>1000</v>
      </c>
      <c r="J424" s="650">
        <f t="shared" si="202"/>
        <v>0</v>
      </c>
      <c r="K424" s="649">
        <f t="shared" si="202"/>
        <v>1000</v>
      </c>
      <c r="L424" s="650">
        <f t="shared" si="202"/>
        <v>0</v>
      </c>
      <c r="M424" s="649">
        <f t="shared" si="202"/>
        <v>1000</v>
      </c>
      <c r="N424" s="650">
        <f t="shared" si="202"/>
        <v>0</v>
      </c>
      <c r="O424" s="651">
        <f t="shared" si="202"/>
        <v>1000</v>
      </c>
      <c r="P424" s="652">
        <f t="shared" si="202"/>
        <v>0</v>
      </c>
      <c r="Q424" s="651">
        <v>0</v>
      </c>
      <c r="R424" s="652">
        <f>R399</f>
        <v>0</v>
      </c>
      <c r="S424" s="653">
        <f>S399</f>
        <v>0</v>
      </c>
      <c r="T424" s="653">
        <f>T399</f>
        <v>0</v>
      </c>
      <c r="U424" s="653"/>
      <c r="V424" s="653">
        <f>V399</f>
        <v>0</v>
      </c>
      <c r="W424" s="654"/>
      <c r="X424" s="655">
        <f>X399</f>
        <v>4000</v>
      </c>
      <c r="Y424" s="656">
        <v>0</v>
      </c>
      <c r="Z424" s="655">
        <f>Z399</f>
        <v>4000</v>
      </c>
      <c r="AA424" s="655">
        <f>AA399</f>
        <v>0</v>
      </c>
      <c r="AB424" s="655">
        <f>AB399</f>
        <v>22000</v>
      </c>
      <c r="AC424" s="657">
        <v>0</v>
      </c>
      <c r="AD424" s="655">
        <f>AD399</f>
        <v>48000</v>
      </c>
      <c r="AE424" s="657">
        <v>0</v>
      </c>
      <c r="AF424" s="655">
        <f>AF399</f>
        <v>30500</v>
      </c>
      <c r="AG424" s="785">
        <v>0</v>
      </c>
      <c r="AH424" s="655">
        <f>AH399</f>
        <v>30500</v>
      </c>
      <c r="AI424" s="655">
        <f>AI399</f>
        <v>30500</v>
      </c>
      <c r="AJ424" s="655">
        <f>AJ399</f>
        <v>27500</v>
      </c>
      <c r="AK424" s="737"/>
      <c r="AM424" s="106"/>
      <c r="AN424" s="106"/>
    </row>
    <row r="425" spans="1:40">
      <c r="A425" s="80"/>
      <c r="B425" s="14"/>
      <c r="C425" s="14"/>
      <c r="D425" s="14"/>
      <c r="E425" s="15"/>
      <c r="F425" s="14"/>
      <c r="G425" s="81"/>
      <c r="H425" s="648" t="s">
        <v>415</v>
      </c>
      <c r="I425" s="649">
        <f>I402</f>
        <v>0</v>
      </c>
      <c r="J425" s="650">
        <f>J402</f>
        <v>0</v>
      </c>
      <c r="K425" s="649">
        <f>K405</f>
        <v>0</v>
      </c>
      <c r="L425" s="650">
        <f>L402</f>
        <v>0</v>
      </c>
      <c r="M425" s="649">
        <f>M405</f>
        <v>0</v>
      </c>
      <c r="N425" s="650">
        <f>N405</f>
        <v>0</v>
      </c>
      <c r="O425" s="651">
        <f>O405</f>
        <v>0</v>
      </c>
      <c r="P425" s="652">
        <f>P405</f>
        <v>0</v>
      </c>
      <c r="Q425" s="651">
        <v>0</v>
      </c>
      <c r="R425" s="652">
        <f>R405</f>
        <v>0</v>
      </c>
      <c r="S425" s="653">
        <f>S405</f>
        <v>0</v>
      </c>
      <c r="T425" s="653">
        <f>T405</f>
        <v>0</v>
      </c>
      <c r="U425" s="653"/>
      <c r="V425" s="653">
        <f>V405</f>
        <v>0</v>
      </c>
      <c r="W425" s="654"/>
      <c r="X425" s="655">
        <f>X405</f>
        <v>0</v>
      </c>
      <c r="Y425" s="656">
        <v>0</v>
      </c>
      <c r="Z425" s="655">
        <f>Z405</f>
        <v>0</v>
      </c>
      <c r="AA425" s="655">
        <f>AA405</f>
        <v>0</v>
      </c>
      <c r="AB425" s="655">
        <f>AB405</f>
        <v>0</v>
      </c>
      <c r="AC425" s="657">
        <v>0</v>
      </c>
      <c r="AD425" s="655">
        <f>AD405</f>
        <v>0</v>
      </c>
      <c r="AE425" s="657">
        <v>0</v>
      </c>
      <c r="AF425" s="655">
        <f>AF405</f>
        <v>0</v>
      </c>
      <c r="AG425" s="785">
        <v>0</v>
      </c>
      <c r="AH425" s="655">
        <f>AH405</f>
        <v>0</v>
      </c>
      <c r="AI425" s="655">
        <f>AI405</f>
        <v>0</v>
      </c>
      <c r="AJ425" s="655">
        <f>AJ405</f>
        <v>0</v>
      </c>
      <c r="AK425" s="737"/>
      <c r="AM425" s="106"/>
      <c r="AN425" s="106"/>
    </row>
    <row r="426" spans="1:40">
      <c r="A426" s="80"/>
      <c r="B426" s="14"/>
      <c r="C426" s="14"/>
      <c r="D426" s="14"/>
      <c r="E426" s="15"/>
      <c r="F426" s="14"/>
      <c r="G426" s="81"/>
      <c r="H426" s="648" t="s">
        <v>416</v>
      </c>
      <c r="I426" s="649">
        <f t="shared" ref="I426:P426" si="203">I408</f>
        <v>0</v>
      </c>
      <c r="J426" s="650">
        <f t="shared" si="203"/>
        <v>0</v>
      </c>
      <c r="K426" s="649">
        <f t="shared" si="203"/>
        <v>0</v>
      </c>
      <c r="L426" s="650">
        <f t="shared" si="203"/>
        <v>0</v>
      </c>
      <c r="M426" s="649">
        <f t="shared" si="203"/>
        <v>0</v>
      </c>
      <c r="N426" s="650">
        <f t="shared" si="203"/>
        <v>0</v>
      </c>
      <c r="O426" s="651">
        <f t="shared" si="203"/>
        <v>0</v>
      </c>
      <c r="P426" s="652">
        <f t="shared" si="203"/>
        <v>0</v>
      </c>
      <c r="Q426" s="651">
        <v>0</v>
      </c>
      <c r="R426" s="652">
        <f>R408</f>
        <v>0</v>
      </c>
      <c r="S426" s="653">
        <f>S408</f>
        <v>0</v>
      </c>
      <c r="T426" s="653">
        <f>T408</f>
        <v>0</v>
      </c>
      <c r="U426" s="653"/>
      <c r="V426" s="653">
        <f>V408</f>
        <v>0</v>
      </c>
      <c r="W426" s="654"/>
      <c r="X426" s="655">
        <f>X408</f>
        <v>0</v>
      </c>
      <c r="Y426" s="656">
        <v>0</v>
      </c>
      <c r="Z426" s="655">
        <f>Z408</f>
        <v>0</v>
      </c>
      <c r="AA426" s="655">
        <f>AA408</f>
        <v>0</v>
      </c>
      <c r="AB426" s="655">
        <f>AB408</f>
        <v>0</v>
      </c>
      <c r="AC426" s="657">
        <v>0</v>
      </c>
      <c r="AD426" s="655">
        <f>AD408</f>
        <v>0</v>
      </c>
      <c r="AE426" s="657">
        <v>0</v>
      </c>
      <c r="AF426" s="655">
        <f>AF408</f>
        <v>0</v>
      </c>
      <c r="AG426" s="785">
        <v>0</v>
      </c>
      <c r="AH426" s="655">
        <f>AH408</f>
        <v>0</v>
      </c>
      <c r="AI426" s="655">
        <f>AI408</f>
        <v>0</v>
      </c>
      <c r="AJ426" s="655">
        <f>AJ408</f>
        <v>0</v>
      </c>
      <c r="AK426" s="737"/>
      <c r="AM426" s="106"/>
      <c r="AN426" s="106"/>
    </row>
    <row r="427" spans="1:40">
      <c r="A427" s="80"/>
      <c r="B427" s="14"/>
      <c r="C427" s="14"/>
      <c r="D427" s="14"/>
      <c r="E427" s="15"/>
      <c r="F427" s="14"/>
      <c r="G427" s="81"/>
      <c r="H427" s="648" t="s">
        <v>417</v>
      </c>
      <c r="I427" s="649">
        <f>SUM(I418:I426)</f>
        <v>1049428</v>
      </c>
      <c r="J427" s="650">
        <f>SUM(J418:J426)</f>
        <v>983111.29999999993</v>
      </c>
      <c r="K427" s="649">
        <f>SUM(K418:K426)</f>
        <v>1054480</v>
      </c>
      <c r="L427" s="650">
        <f>SUM(L418:L426)</f>
        <v>676754.6399999999</v>
      </c>
      <c r="M427" s="649">
        <f>SUM(M418:M426)</f>
        <v>1047758.3999999999</v>
      </c>
      <c r="N427" s="650">
        <v>947271.28</v>
      </c>
      <c r="O427" s="651">
        <f>SUM(O418:O426)</f>
        <v>1070230</v>
      </c>
      <c r="P427" s="652">
        <f>SUM(P418:P426)</f>
        <v>501178.66999999993</v>
      </c>
      <c r="Q427" s="651">
        <v>1090973.1299999999</v>
      </c>
      <c r="R427" s="652">
        <f>SUM(R418:R426)</f>
        <v>731601.41</v>
      </c>
      <c r="S427" s="653">
        <f>SUM(S418:S426)</f>
        <v>1185660</v>
      </c>
      <c r="T427" s="653">
        <f>SUM(T418:T426)</f>
        <v>1186460</v>
      </c>
      <c r="U427" s="653"/>
      <c r="V427" s="653">
        <f t="shared" ref="V427:AD427" si="204">SUM(V418:V426)</f>
        <v>15598080</v>
      </c>
      <c r="W427" s="654">
        <f t="shared" si="204"/>
        <v>-702066.74</v>
      </c>
      <c r="X427" s="655">
        <f t="shared" si="204"/>
        <v>1202190</v>
      </c>
      <c r="Y427" s="656">
        <f t="shared" si="204"/>
        <v>-424678.31000000006</v>
      </c>
      <c r="Z427" s="655">
        <f t="shared" si="204"/>
        <v>1256260</v>
      </c>
      <c r="AA427" s="655">
        <f t="shared" ref="AA427" si="205">SUM(AA418:AA426)</f>
        <v>-1171119.73</v>
      </c>
      <c r="AB427" s="655">
        <f t="shared" si="204"/>
        <v>1378190</v>
      </c>
      <c r="AC427" s="657">
        <f t="shared" ref="AC427" si="206">SUM(AC418:AC426)</f>
        <v>-1158799.93</v>
      </c>
      <c r="AD427" s="655">
        <f t="shared" si="204"/>
        <v>1441070</v>
      </c>
      <c r="AE427" s="657">
        <f t="shared" ref="AE427" si="207">SUM(AE418:AE426)</f>
        <v>-1393715</v>
      </c>
      <c r="AF427" s="655">
        <f>SUM(AF418:AF426)</f>
        <v>1551940</v>
      </c>
      <c r="AG427" s="785">
        <f t="shared" ref="AG427" si="208">SUM(AG418:AG426)</f>
        <v>-578657.54999999993</v>
      </c>
      <c r="AH427" s="655">
        <f>SUM(AH418:AH426)</f>
        <v>1564081.24</v>
      </c>
      <c r="AI427" s="655">
        <f>SUM(AI418:AI426)</f>
        <v>1601066</v>
      </c>
      <c r="AJ427" s="655">
        <f>SUM(AJ418:AJ426)</f>
        <v>1598102</v>
      </c>
      <c r="AK427" s="737"/>
      <c r="AM427" s="106"/>
      <c r="AN427" s="106"/>
    </row>
    <row r="428" spans="1:40">
      <c r="A428" s="80"/>
      <c r="B428" s="14"/>
      <c r="C428" s="14"/>
      <c r="D428" s="14"/>
      <c r="E428" s="15"/>
      <c r="F428" s="14"/>
      <c r="G428" s="81"/>
      <c r="H428" s="648"/>
      <c r="I428" s="649"/>
      <c r="J428" s="650"/>
      <c r="K428" s="649"/>
      <c r="L428" s="650"/>
      <c r="M428" s="649"/>
      <c r="N428" s="650"/>
      <c r="O428" s="651"/>
      <c r="P428" s="652"/>
      <c r="Q428" s="651"/>
      <c r="R428" s="652"/>
      <c r="S428" s="653"/>
      <c r="T428" s="653"/>
      <c r="U428" s="653"/>
      <c r="V428" s="653"/>
      <c r="W428" s="654"/>
      <c r="X428" s="655"/>
      <c r="Y428" s="656"/>
      <c r="Z428" s="655"/>
      <c r="AA428" s="655"/>
      <c r="AB428" s="655"/>
      <c r="AC428" s="657"/>
      <c r="AD428" s="655"/>
      <c r="AE428" s="657"/>
      <c r="AF428" s="655"/>
      <c r="AG428" s="785"/>
      <c r="AH428" s="655"/>
      <c r="AI428" s="655"/>
      <c r="AJ428" s="655"/>
      <c r="AK428" s="737"/>
      <c r="AM428" s="106"/>
      <c r="AN428" s="106"/>
    </row>
    <row r="429" spans="1:40">
      <c r="A429" s="80"/>
      <c r="B429" s="14"/>
      <c r="C429" s="14"/>
      <c r="D429" s="14"/>
      <c r="E429" s="15"/>
      <c r="F429" s="14"/>
      <c r="G429" s="81"/>
      <c r="H429" s="648" t="s">
        <v>20</v>
      </c>
      <c r="I429" s="649">
        <f>I416</f>
        <v>1169281</v>
      </c>
      <c r="J429" s="650">
        <f>J416</f>
        <v>978029.3</v>
      </c>
      <c r="K429" s="649">
        <f>K416</f>
        <v>1054480</v>
      </c>
      <c r="L429" s="660">
        <f>L416</f>
        <v>888672.5</v>
      </c>
      <c r="M429" s="649">
        <f>M416</f>
        <v>1047758.4</v>
      </c>
      <c r="N429" s="661" t="s">
        <v>418</v>
      </c>
      <c r="O429" s="651">
        <f>O416</f>
        <v>1068830</v>
      </c>
      <c r="P429" s="652">
        <f>P416</f>
        <v>770205.3</v>
      </c>
      <c r="Q429" s="651">
        <v>1090973.1299999999</v>
      </c>
      <c r="R429" s="652">
        <f>R416</f>
        <v>899216.31</v>
      </c>
      <c r="S429" s="653">
        <f>S416</f>
        <v>1185660</v>
      </c>
      <c r="T429" s="653">
        <f>T416</f>
        <v>1186460</v>
      </c>
      <c r="U429" s="653"/>
      <c r="V429" s="653">
        <f t="shared" ref="V429:AD429" si="209">V416</f>
        <v>15598080</v>
      </c>
      <c r="W429" s="654">
        <f t="shared" si="209"/>
        <v>987597.29</v>
      </c>
      <c r="X429" s="655">
        <f t="shared" si="209"/>
        <v>1202190</v>
      </c>
      <c r="Y429" s="656">
        <f t="shared" si="209"/>
        <v>457020.73</v>
      </c>
      <c r="Z429" s="655">
        <f t="shared" si="209"/>
        <v>1256260</v>
      </c>
      <c r="AA429" s="655">
        <f t="shared" ref="AA429" si="210">AA416</f>
        <v>1164221.8500000001</v>
      </c>
      <c r="AB429" s="655">
        <f t="shared" si="209"/>
        <v>1378190</v>
      </c>
      <c r="AC429" s="657">
        <f t="shared" ref="AC429" si="211">AC416</f>
        <v>1164343.0999999999</v>
      </c>
      <c r="AD429" s="655">
        <f t="shared" si="209"/>
        <v>1441070</v>
      </c>
      <c r="AE429" s="657">
        <f t="shared" ref="AE429" si="212">AE416</f>
        <v>1251311.67</v>
      </c>
      <c r="AF429" s="655">
        <f>AF416</f>
        <v>1551940</v>
      </c>
      <c r="AG429" s="785">
        <f t="shared" ref="AG429" si="213">AG416</f>
        <v>578039.18999999994</v>
      </c>
      <c r="AH429" s="655">
        <f>AH416</f>
        <v>1564081.24</v>
      </c>
      <c r="AI429" s="655">
        <f>AI416</f>
        <v>1601066</v>
      </c>
      <c r="AJ429" s="655">
        <f>AJ416</f>
        <v>1598102</v>
      </c>
      <c r="AK429" s="737"/>
      <c r="AM429" s="106"/>
      <c r="AN429" s="106"/>
    </row>
    <row r="430" spans="1:40">
      <c r="A430" s="80"/>
      <c r="B430" s="14"/>
      <c r="C430" s="14"/>
      <c r="D430" s="14"/>
      <c r="E430" s="15"/>
      <c r="F430" s="14"/>
      <c r="G430" s="81"/>
      <c r="H430" s="648" t="s">
        <v>22</v>
      </c>
      <c r="I430" s="649">
        <f t="shared" ref="I430:P430" si="214">I427</f>
        <v>1049428</v>
      </c>
      <c r="J430" s="650">
        <f t="shared" si="214"/>
        <v>983111.29999999993</v>
      </c>
      <c r="K430" s="649">
        <f t="shared" si="214"/>
        <v>1054480</v>
      </c>
      <c r="L430" s="650">
        <f t="shared" si="214"/>
        <v>676754.6399999999</v>
      </c>
      <c r="M430" s="649">
        <f t="shared" si="214"/>
        <v>1047758.3999999999</v>
      </c>
      <c r="N430" s="650">
        <f t="shared" si="214"/>
        <v>947271.28</v>
      </c>
      <c r="O430" s="651">
        <f t="shared" si="214"/>
        <v>1070230</v>
      </c>
      <c r="P430" s="652">
        <f t="shared" si="214"/>
        <v>501178.66999999993</v>
      </c>
      <c r="Q430" s="651">
        <v>1090973.1299999999</v>
      </c>
      <c r="R430" s="652">
        <f>R427</f>
        <v>731601.41</v>
      </c>
      <c r="S430" s="653">
        <f>S427</f>
        <v>1185660</v>
      </c>
      <c r="T430" s="653">
        <f>T427</f>
        <v>1186460</v>
      </c>
      <c r="U430" s="653"/>
      <c r="V430" s="653">
        <f t="shared" ref="V430:AD430" si="215">V427</f>
        <v>15598080</v>
      </c>
      <c r="W430" s="654">
        <f t="shared" si="215"/>
        <v>-702066.74</v>
      </c>
      <c r="X430" s="655">
        <f t="shared" si="215"/>
        <v>1202190</v>
      </c>
      <c r="Y430" s="656">
        <f t="shared" si="215"/>
        <v>-424678.31000000006</v>
      </c>
      <c r="Z430" s="655">
        <f t="shared" si="215"/>
        <v>1256260</v>
      </c>
      <c r="AA430" s="655">
        <f t="shared" ref="AA430" si="216">AA427</f>
        <v>-1171119.73</v>
      </c>
      <c r="AB430" s="655">
        <f t="shared" si="215"/>
        <v>1378190</v>
      </c>
      <c r="AC430" s="657">
        <f t="shared" ref="AC430" si="217">AC427</f>
        <v>-1158799.93</v>
      </c>
      <c r="AD430" s="655">
        <f t="shared" si="215"/>
        <v>1441070</v>
      </c>
      <c r="AE430" s="657">
        <f t="shared" ref="AE430" si="218">AE427</f>
        <v>-1393715</v>
      </c>
      <c r="AF430" s="655">
        <f>AF427</f>
        <v>1551940</v>
      </c>
      <c r="AG430" s="785">
        <f t="shared" ref="AG430" si="219">AG427</f>
        <v>-578657.54999999993</v>
      </c>
      <c r="AH430" s="655">
        <f>AH427</f>
        <v>1564081.24</v>
      </c>
      <c r="AI430" s="655">
        <f>AI427</f>
        <v>1601066</v>
      </c>
      <c r="AJ430" s="655">
        <f>AJ427</f>
        <v>1598102</v>
      </c>
      <c r="AK430" s="737"/>
      <c r="AM430" s="106"/>
      <c r="AN430" s="106"/>
    </row>
    <row r="431" spans="1:40">
      <c r="A431" s="662"/>
      <c r="B431" s="663"/>
      <c r="C431" s="663"/>
      <c r="D431" s="663"/>
      <c r="E431" s="664"/>
      <c r="F431" s="663"/>
      <c r="G431" s="665"/>
      <c r="H431" s="648" t="s">
        <v>419</v>
      </c>
      <c r="I431" s="649">
        <f t="shared" ref="I431:P431" si="220">I429-I430</f>
        <v>119853</v>
      </c>
      <c r="J431" s="650">
        <f t="shared" si="220"/>
        <v>-5081.9999999998836</v>
      </c>
      <c r="K431" s="649">
        <f t="shared" si="220"/>
        <v>0</v>
      </c>
      <c r="L431" s="660">
        <f t="shared" si="220"/>
        <v>211917.8600000001</v>
      </c>
      <c r="M431" s="649">
        <f t="shared" si="220"/>
        <v>0</v>
      </c>
      <c r="N431" s="650">
        <f t="shared" si="220"/>
        <v>66510.770000000019</v>
      </c>
      <c r="O431" s="651">
        <f t="shared" si="220"/>
        <v>-1400</v>
      </c>
      <c r="P431" s="652">
        <f t="shared" si="220"/>
        <v>269026.63000000012</v>
      </c>
      <c r="Q431" s="651">
        <v>0</v>
      </c>
      <c r="R431" s="652">
        <f>R429-R430</f>
        <v>167614.90000000002</v>
      </c>
      <c r="S431" s="653">
        <f>S429-S430</f>
        <v>0</v>
      </c>
      <c r="T431" s="653">
        <f>T429-T430</f>
        <v>0</v>
      </c>
      <c r="U431" s="653"/>
      <c r="V431" s="653">
        <f>V429-V430</f>
        <v>0</v>
      </c>
      <c r="W431" s="654">
        <f>W429+W430</f>
        <v>285530.55000000005</v>
      </c>
      <c r="X431" s="655">
        <f>X429-X430</f>
        <v>0</v>
      </c>
      <c r="Y431" s="656">
        <f>Y429+Y430</f>
        <v>32342.419999999925</v>
      </c>
      <c r="Z431" s="655">
        <f>Z429-Z430</f>
        <v>0</v>
      </c>
      <c r="AA431" s="655">
        <f>SUM(AA429:AA430)</f>
        <v>-6897.8799999998882</v>
      </c>
      <c r="AB431" s="655">
        <f>AB429-AB430</f>
        <v>0</v>
      </c>
      <c r="AC431" s="657">
        <f>AC429+AC430</f>
        <v>5543.1699999999255</v>
      </c>
      <c r="AD431" s="655">
        <f>AD429-AD430</f>
        <v>0</v>
      </c>
      <c r="AE431" s="657">
        <f>AE429+AE430</f>
        <v>-142403.33000000007</v>
      </c>
      <c r="AF431" s="655">
        <f>AF429-AF430</f>
        <v>0</v>
      </c>
      <c r="AG431" s="785">
        <f>AG429+AG430</f>
        <v>-618.35999999998603</v>
      </c>
      <c r="AH431" s="655">
        <f>AH429-AH430</f>
        <v>0</v>
      </c>
      <c r="AI431" s="655">
        <f>AI429-AI430</f>
        <v>0</v>
      </c>
      <c r="AJ431" s="655">
        <f>AJ429-AJ430</f>
        <v>0</v>
      </c>
      <c r="AK431" s="737"/>
      <c r="AM431" s="106"/>
      <c r="AN431" s="106"/>
    </row>
    <row r="432" spans="1:40">
      <c r="AA432" s="37"/>
      <c r="AJ432" s="104"/>
    </row>
    <row r="433" spans="27:36">
      <c r="AA433" s="37"/>
      <c r="AJ433" s="104"/>
    </row>
    <row r="434" spans="27:36">
      <c r="AA434" s="37"/>
    </row>
    <row r="435" spans="27:36">
      <c r="AA435" s="37"/>
      <c r="AJ435" s="104"/>
    </row>
    <row r="436" spans="27:36">
      <c r="AA436" s="37"/>
      <c r="AJ436" s="104"/>
    </row>
    <row r="437" spans="27:36">
      <c r="AA437" s="37"/>
      <c r="AJ437" s="104"/>
    </row>
    <row r="438" spans="27:36">
      <c r="AA438" s="37"/>
      <c r="AJ438" s="104"/>
    </row>
    <row r="439" spans="27:36">
      <c r="AA439" s="37"/>
      <c r="AJ439" s="104"/>
    </row>
    <row r="440" spans="27:36">
      <c r="AA440" s="37"/>
      <c r="AJ440" s="104"/>
    </row>
    <row r="441" spans="27:36">
      <c r="AA441" s="37"/>
      <c r="AJ441" s="104"/>
    </row>
    <row r="442" spans="27:36">
      <c r="AA442" s="37"/>
      <c r="AJ442" s="104"/>
    </row>
    <row r="443" spans="27:36">
      <c r="AA443" s="37"/>
      <c r="AJ443" s="104"/>
    </row>
    <row r="444" spans="27:36">
      <c r="AA444" s="37"/>
      <c r="AJ444" s="104"/>
    </row>
    <row r="445" spans="27:36">
      <c r="AA445" s="37"/>
      <c r="AJ445" s="104"/>
    </row>
    <row r="446" spans="27:36">
      <c r="AA446" s="37"/>
      <c r="AJ446" s="104"/>
    </row>
    <row r="447" spans="27:36">
      <c r="AA447" s="37"/>
      <c r="AJ447" s="104"/>
    </row>
    <row r="448" spans="27:36">
      <c r="AA448" s="37"/>
      <c r="AJ448" s="104"/>
    </row>
    <row r="449" spans="27:36">
      <c r="AA449" s="37"/>
      <c r="AJ449" s="104"/>
    </row>
    <row r="450" spans="27:36">
      <c r="AA450" s="37"/>
      <c r="AJ450" s="104"/>
    </row>
    <row r="451" spans="27:36">
      <c r="AA451" s="37"/>
      <c r="AJ451" s="104"/>
    </row>
    <row r="452" spans="27:36">
      <c r="AA452" s="37"/>
      <c r="AJ452" s="104"/>
    </row>
    <row r="453" spans="27:36">
      <c r="AA453" s="37"/>
      <c r="AJ453" s="104"/>
    </row>
    <row r="454" spans="27:36">
      <c r="AA454" s="37"/>
      <c r="AJ454" s="104"/>
    </row>
    <row r="455" spans="27:36">
      <c r="AA455" s="37"/>
      <c r="AJ455" s="104"/>
    </row>
    <row r="456" spans="27:36">
      <c r="AA456" s="37"/>
      <c r="AJ456" s="104"/>
    </row>
    <row r="457" spans="27:36">
      <c r="AA457" s="37"/>
      <c r="AJ457" s="104"/>
    </row>
    <row r="458" spans="27:36">
      <c r="AA458" s="37"/>
      <c r="AJ458" s="104"/>
    </row>
    <row r="459" spans="27:36">
      <c r="AA459" s="37"/>
      <c r="AJ459" s="104"/>
    </row>
    <row r="460" spans="27:36">
      <c r="AA460" s="37"/>
      <c r="AJ460" s="104"/>
    </row>
    <row r="461" spans="27:36">
      <c r="AA461" s="37"/>
      <c r="AJ461" s="104"/>
    </row>
    <row r="462" spans="27:36">
      <c r="AA462" s="37"/>
      <c r="AJ462" s="104"/>
    </row>
    <row r="463" spans="27:36">
      <c r="AA463" s="37"/>
      <c r="AJ463" s="104"/>
    </row>
    <row r="464" spans="27:36">
      <c r="AA464" s="37"/>
      <c r="AJ464" s="104"/>
    </row>
    <row r="465" spans="27:36">
      <c r="AA465" s="37"/>
      <c r="AJ465" s="104"/>
    </row>
    <row r="466" spans="27:36">
      <c r="AA466" s="37"/>
      <c r="AJ466" s="104"/>
    </row>
    <row r="467" spans="27:36">
      <c r="AA467" s="37"/>
      <c r="AJ467" s="104"/>
    </row>
    <row r="468" spans="27:36">
      <c r="AA468" s="37"/>
      <c r="AJ468" s="104"/>
    </row>
    <row r="469" spans="27:36">
      <c r="AA469" s="37"/>
      <c r="AJ469" s="104"/>
    </row>
    <row r="470" spans="27:36">
      <c r="AA470" s="37"/>
      <c r="AJ470" s="104"/>
    </row>
    <row r="471" spans="27:36">
      <c r="AA471" s="37"/>
      <c r="AJ471" s="104"/>
    </row>
    <row r="472" spans="27:36">
      <c r="AA472" s="37"/>
      <c r="AJ472" s="104"/>
    </row>
    <row r="473" spans="27:36">
      <c r="AA473" s="37"/>
      <c r="AJ473" s="104"/>
    </row>
    <row r="474" spans="27:36">
      <c r="AA474" s="37"/>
      <c r="AJ474" s="104"/>
    </row>
    <row r="475" spans="27:36">
      <c r="AA475" s="37"/>
      <c r="AJ475" s="104"/>
    </row>
    <row r="476" spans="27:36">
      <c r="AA476" s="37"/>
      <c r="AJ476" s="104"/>
    </row>
    <row r="477" spans="27:36">
      <c r="AA477" s="37"/>
      <c r="AJ477" s="104"/>
    </row>
    <row r="478" spans="27:36">
      <c r="AA478" s="37"/>
      <c r="AJ478" s="104"/>
    </row>
    <row r="479" spans="27:36">
      <c r="AA479" s="37"/>
      <c r="AJ479" s="104"/>
    </row>
    <row r="480" spans="27:36">
      <c r="AA480" s="37"/>
      <c r="AJ480" s="104"/>
    </row>
    <row r="481" spans="27:36">
      <c r="AA481" s="37"/>
      <c r="AJ481" s="104"/>
    </row>
    <row r="482" spans="27:36">
      <c r="AA482" s="37"/>
      <c r="AJ482" s="104"/>
    </row>
    <row r="483" spans="27:36">
      <c r="AA483" s="37"/>
      <c r="AJ483" s="104"/>
    </row>
    <row r="484" spans="27:36">
      <c r="AA484" s="37"/>
      <c r="AJ484" s="104"/>
    </row>
    <row r="485" spans="27:36">
      <c r="AA485" s="37"/>
      <c r="AJ485" s="104"/>
    </row>
    <row r="486" spans="27:36">
      <c r="AA486" s="37"/>
      <c r="AJ486" s="104"/>
    </row>
    <row r="487" spans="27:36">
      <c r="AA487" s="37"/>
      <c r="AJ487" s="104"/>
    </row>
    <row r="488" spans="27:36">
      <c r="AA488" s="37"/>
      <c r="AJ488" s="104"/>
    </row>
    <row r="489" spans="27:36">
      <c r="AA489" s="37"/>
      <c r="AJ489" s="104"/>
    </row>
    <row r="490" spans="27:36">
      <c r="AA490" s="37"/>
      <c r="AJ490" s="104"/>
    </row>
    <row r="491" spans="27:36">
      <c r="AA491" s="37"/>
      <c r="AJ491" s="104"/>
    </row>
    <row r="492" spans="27:36">
      <c r="AA492" s="37"/>
      <c r="AJ492" s="104"/>
    </row>
    <row r="493" spans="27:36">
      <c r="AA493" s="37"/>
      <c r="AJ493" s="104"/>
    </row>
    <row r="494" spans="27:36">
      <c r="AA494" s="37"/>
      <c r="AJ494" s="104"/>
    </row>
    <row r="495" spans="27:36">
      <c r="AA495" s="37"/>
      <c r="AJ495" s="104"/>
    </row>
    <row r="496" spans="27:36">
      <c r="AA496" s="37"/>
      <c r="AJ496" s="104"/>
    </row>
    <row r="497" spans="27:36">
      <c r="AA497" s="37"/>
      <c r="AJ497" s="104"/>
    </row>
    <row r="498" spans="27:36">
      <c r="AA498" s="37"/>
      <c r="AJ498" s="104"/>
    </row>
    <row r="499" spans="27:36">
      <c r="AA499" s="37"/>
      <c r="AJ499" s="104"/>
    </row>
    <row r="500" spans="27:36">
      <c r="AA500" s="37"/>
      <c r="AJ500" s="104"/>
    </row>
    <row r="501" spans="27:36">
      <c r="AA501" s="37"/>
      <c r="AJ501" s="104"/>
    </row>
    <row r="502" spans="27:36">
      <c r="AA502" s="37"/>
      <c r="AJ502" s="104"/>
    </row>
    <row r="503" spans="27:36">
      <c r="AA503" s="37"/>
      <c r="AJ503" s="104"/>
    </row>
    <row r="504" spans="27:36">
      <c r="AA504" s="37"/>
      <c r="AJ504" s="104"/>
    </row>
    <row r="505" spans="27:36">
      <c r="AA505" s="37"/>
      <c r="AJ505" s="104"/>
    </row>
    <row r="506" spans="27:36">
      <c r="AA506" s="37"/>
      <c r="AJ506" s="104"/>
    </row>
    <row r="507" spans="27:36">
      <c r="AA507" s="37"/>
      <c r="AJ507" s="104"/>
    </row>
    <row r="508" spans="27:36">
      <c r="AA508" s="37"/>
      <c r="AJ508" s="104"/>
    </row>
    <row r="509" spans="27:36">
      <c r="AA509" s="37"/>
      <c r="AJ509" s="104"/>
    </row>
    <row r="510" spans="27:36">
      <c r="AA510" s="37"/>
      <c r="AJ510" s="104"/>
    </row>
    <row r="511" spans="27:36">
      <c r="AA511" s="37"/>
      <c r="AJ511" s="104"/>
    </row>
    <row r="512" spans="27:36">
      <c r="AA512" s="37"/>
      <c r="AJ512" s="104"/>
    </row>
    <row r="513" spans="27:36">
      <c r="AA513" s="37"/>
      <c r="AJ513" s="104"/>
    </row>
    <row r="514" spans="27:36">
      <c r="AA514" s="37"/>
      <c r="AJ514" s="104"/>
    </row>
    <row r="515" spans="27:36">
      <c r="AA515" s="37"/>
      <c r="AJ515" s="104"/>
    </row>
    <row r="516" spans="27:36">
      <c r="AA516" s="37"/>
      <c r="AJ516" s="104"/>
    </row>
    <row r="517" spans="27:36">
      <c r="AA517" s="37"/>
      <c r="AJ517" s="104"/>
    </row>
    <row r="518" spans="27:36">
      <c r="AA518" s="37"/>
      <c r="AJ518" s="104"/>
    </row>
    <row r="519" spans="27:36">
      <c r="AA519" s="37"/>
      <c r="AJ519" s="104"/>
    </row>
    <row r="520" spans="27:36">
      <c r="AA520" s="37"/>
      <c r="AJ520" s="104"/>
    </row>
    <row r="521" spans="27:36">
      <c r="AA521" s="37"/>
      <c r="AJ521" s="104"/>
    </row>
    <row r="522" spans="27:36">
      <c r="AA522" s="37"/>
      <c r="AJ522" s="104"/>
    </row>
    <row r="523" spans="27:36">
      <c r="AA523" s="37"/>
      <c r="AJ523" s="104"/>
    </row>
    <row r="524" spans="27:36">
      <c r="AA524" s="37"/>
      <c r="AJ524" s="104"/>
    </row>
    <row r="525" spans="27:36">
      <c r="AA525" s="37"/>
      <c r="AJ525" s="104"/>
    </row>
    <row r="526" spans="27:36">
      <c r="AA526" s="37"/>
      <c r="AJ526" s="104"/>
    </row>
    <row r="527" spans="27:36">
      <c r="AA527" s="37"/>
      <c r="AJ527" s="104"/>
    </row>
    <row r="528" spans="27:36">
      <c r="AA528" s="37"/>
      <c r="AJ528" s="104"/>
    </row>
    <row r="529" spans="27:36">
      <c r="AA529" s="37"/>
      <c r="AJ529" s="104"/>
    </row>
    <row r="530" spans="27:36">
      <c r="AA530" s="37"/>
      <c r="AJ530" s="104"/>
    </row>
    <row r="531" spans="27:36">
      <c r="AA531" s="37"/>
      <c r="AJ531" s="104"/>
    </row>
    <row r="532" spans="27:36">
      <c r="AA532" s="37"/>
      <c r="AJ532" s="104"/>
    </row>
    <row r="533" spans="27:36">
      <c r="AA533" s="37"/>
      <c r="AJ533" s="104"/>
    </row>
    <row r="534" spans="27:36">
      <c r="AA534" s="37"/>
      <c r="AJ534" s="104"/>
    </row>
    <row r="535" spans="27:36">
      <c r="AA535" s="37"/>
      <c r="AJ535" s="104"/>
    </row>
    <row r="536" spans="27:36">
      <c r="AA536" s="37"/>
      <c r="AJ536" s="104"/>
    </row>
    <row r="537" spans="27:36">
      <c r="AA537" s="37"/>
      <c r="AJ537" s="104"/>
    </row>
    <row r="538" spans="27:36">
      <c r="AA538" s="37"/>
      <c r="AJ538" s="104"/>
    </row>
    <row r="539" spans="27:36">
      <c r="AA539" s="37"/>
      <c r="AJ539" s="104"/>
    </row>
    <row r="540" spans="27:36">
      <c r="AA540" s="37"/>
      <c r="AJ540" s="104"/>
    </row>
    <row r="541" spans="27:36">
      <c r="AA541" s="37"/>
      <c r="AJ541" s="104"/>
    </row>
    <row r="542" spans="27:36">
      <c r="AA542" s="37"/>
      <c r="AJ542" s="104"/>
    </row>
    <row r="543" spans="27:36">
      <c r="AA543" s="37"/>
      <c r="AJ543" s="104"/>
    </row>
    <row r="544" spans="27:36">
      <c r="AA544" s="37"/>
      <c r="AJ544" s="104"/>
    </row>
    <row r="545" spans="27:36">
      <c r="AA545" s="37"/>
      <c r="AJ545" s="104"/>
    </row>
    <row r="546" spans="27:36">
      <c r="AA546" s="37"/>
      <c r="AJ546" s="104"/>
    </row>
    <row r="547" spans="27:36">
      <c r="AA547" s="37"/>
      <c r="AJ547" s="104"/>
    </row>
    <row r="548" spans="27:36">
      <c r="AA548" s="37"/>
      <c r="AJ548" s="104"/>
    </row>
    <row r="549" spans="27:36">
      <c r="AA549" s="37"/>
      <c r="AJ549" s="104"/>
    </row>
    <row r="550" spans="27:36">
      <c r="AA550" s="37"/>
      <c r="AJ550" s="104"/>
    </row>
    <row r="551" spans="27:36">
      <c r="AA551" s="37"/>
      <c r="AJ551" s="104"/>
    </row>
    <row r="552" spans="27:36">
      <c r="AA552" s="37"/>
      <c r="AJ552" s="104"/>
    </row>
    <row r="553" spans="27:36">
      <c r="AA553" s="37"/>
      <c r="AJ553" s="104"/>
    </row>
    <row r="554" spans="27:36">
      <c r="AA554" s="37"/>
      <c r="AJ554" s="104"/>
    </row>
    <row r="555" spans="27:36">
      <c r="AA555" s="37"/>
      <c r="AJ555" s="104"/>
    </row>
    <row r="556" spans="27:36">
      <c r="AA556" s="37"/>
      <c r="AJ556" s="104"/>
    </row>
    <row r="557" spans="27:36">
      <c r="AA557" s="37"/>
      <c r="AJ557" s="104"/>
    </row>
    <row r="558" spans="27:36">
      <c r="AA558" s="37"/>
      <c r="AJ558" s="104"/>
    </row>
    <row r="559" spans="27:36">
      <c r="AA559" s="37"/>
      <c r="AJ559" s="104"/>
    </row>
    <row r="560" spans="27:36">
      <c r="AA560" s="37"/>
      <c r="AJ560" s="104"/>
    </row>
    <row r="561" spans="27:36">
      <c r="AA561" s="37"/>
      <c r="AJ561" s="104"/>
    </row>
    <row r="562" spans="27:36">
      <c r="AA562" s="37"/>
      <c r="AJ562" s="102"/>
    </row>
    <row r="563" spans="27:36">
      <c r="AA563" s="37"/>
      <c r="AJ563" s="102"/>
    </row>
    <row r="564" spans="27:36">
      <c r="AA564" s="37"/>
      <c r="AJ564" s="102"/>
    </row>
    <row r="565" spans="27:36">
      <c r="AA565" s="37"/>
      <c r="AJ565" s="102"/>
    </row>
    <row r="566" spans="27:36">
      <c r="AA566" s="37"/>
      <c r="AJ566" s="102"/>
    </row>
    <row r="567" spans="27:36">
      <c r="AA567" s="37"/>
      <c r="AJ567" s="102"/>
    </row>
    <row r="568" spans="27:36">
      <c r="AA568" s="37"/>
      <c r="AJ568" s="102"/>
    </row>
    <row r="569" spans="27:36">
      <c r="AA569" s="37"/>
      <c r="AJ569" s="102"/>
    </row>
    <row r="570" spans="27:36">
      <c r="AA570" s="37"/>
      <c r="AJ570" s="102"/>
    </row>
    <row r="571" spans="27:36">
      <c r="AA571" s="37"/>
      <c r="AJ571" s="102"/>
    </row>
    <row r="572" spans="27:36">
      <c r="AA572" s="37"/>
      <c r="AJ572" s="102"/>
    </row>
    <row r="573" spans="27:36">
      <c r="AA573" s="37"/>
      <c r="AJ573" s="102"/>
    </row>
    <row r="574" spans="27:36">
      <c r="AA574" s="37"/>
      <c r="AJ574" s="102"/>
    </row>
    <row r="575" spans="27:36">
      <c r="AA575" s="37"/>
      <c r="AJ575" s="102"/>
    </row>
    <row r="576" spans="27:36">
      <c r="AA576" s="37"/>
      <c r="AJ576" s="102"/>
    </row>
    <row r="577" spans="27:36">
      <c r="AA577" s="37"/>
      <c r="AJ577" s="102"/>
    </row>
    <row r="578" spans="27:36">
      <c r="AA578" s="37"/>
      <c r="AJ578" s="102"/>
    </row>
    <row r="579" spans="27:36">
      <c r="AA579" s="37"/>
      <c r="AJ579" s="102"/>
    </row>
    <row r="580" spans="27:36">
      <c r="AA580" s="37"/>
      <c r="AJ580" s="102"/>
    </row>
    <row r="581" spans="27:36">
      <c r="AA581" s="37"/>
      <c r="AJ581" s="102"/>
    </row>
    <row r="582" spans="27:36">
      <c r="AA582" s="37"/>
      <c r="AJ582" s="102"/>
    </row>
    <row r="583" spans="27:36">
      <c r="AA583" s="37"/>
      <c r="AJ583" s="102"/>
    </row>
    <row r="584" spans="27:36">
      <c r="AA584" s="37"/>
      <c r="AJ584" s="102"/>
    </row>
    <row r="585" spans="27:36">
      <c r="AA585" s="37"/>
      <c r="AJ585" s="102"/>
    </row>
    <row r="586" spans="27:36">
      <c r="AA586" s="37"/>
      <c r="AJ586" s="102"/>
    </row>
    <row r="587" spans="27:36">
      <c r="AA587" s="37"/>
      <c r="AJ587" s="102"/>
    </row>
    <row r="588" spans="27:36">
      <c r="AA588" s="37"/>
      <c r="AJ588" s="102"/>
    </row>
    <row r="589" spans="27:36">
      <c r="AA589" s="37"/>
      <c r="AJ589" s="102"/>
    </row>
    <row r="590" spans="27:36">
      <c r="AA590" s="37"/>
      <c r="AJ590" s="102"/>
    </row>
    <row r="591" spans="27:36">
      <c r="AA591" s="37"/>
      <c r="AJ591" s="102"/>
    </row>
    <row r="592" spans="27:36">
      <c r="AA592" s="37"/>
      <c r="AJ592" s="102"/>
    </row>
    <row r="593" spans="27:36">
      <c r="AA593" s="37"/>
      <c r="AJ593" s="102"/>
    </row>
    <row r="594" spans="27:36">
      <c r="AA594" s="37"/>
      <c r="AJ594" s="102"/>
    </row>
    <row r="595" spans="27:36">
      <c r="AA595" s="37"/>
      <c r="AJ595" s="102"/>
    </row>
    <row r="596" spans="27:36">
      <c r="AA596" s="37"/>
      <c r="AJ596" s="102"/>
    </row>
    <row r="597" spans="27:36">
      <c r="AA597" s="37"/>
      <c r="AJ597" s="102"/>
    </row>
    <row r="598" spans="27:36">
      <c r="AA598" s="37"/>
      <c r="AJ598" s="102"/>
    </row>
    <row r="599" spans="27:36">
      <c r="AA599" s="37"/>
      <c r="AJ599" s="102"/>
    </row>
    <row r="600" spans="27:36">
      <c r="AA600" s="37"/>
      <c r="AJ600" s="102"/>
    </row>
    <row r="601" spans="27:36">
      <c r="AA601" s="37"/>
      <c r="AJ601" s="102"/>
    </row>
    <row r="602" spans="27:36">
      <c r="AA602" s="37"/>
      <c r="AJ602" s="102"/>
    </row>
    <row r="603" spans="27:36">
      <c r="AA603" s="37"/>
      <c r="AJ603" s="102"/>
    </row>
    <row r="604" spans="27:36">
      <c r="AA604" s="37"/>
      <c r="AJ604" s="102"/>
    </row>
    <row r="605" spans="27:36">
      <c r="AA605" s="37"/>
      <c r="AJ605" s="102"/>
    </row>
    <row r="606" spans="27:36">
      <c r="AA606" s="37"/>
      <c r="AJ606" s="102"/>
    </row>
    <row r="607" spans="27:36">
      <c r="AA607" s="37"/>
      <c r="AJ607" s="102"/>
    </row>
    <row r="608" spans="27:36">
      <c r="AA608" s="37"/>
      <c r="AJ608" s="102"/>
    </row>
    <row r="609" spans="27:36">
      <c r="AA609" s="37"/>
      <c r="AJ609" s="102"/>
    </row>
    <row r="610" spans="27:36">
      <c r="AA610" s="37"/>
      <c r="AJ610" s="102"/>
    </row>
    <row r="611" spans="27:36">
      <c r="AA611" s="37"/>
      <c r="AJ611" s="102"/>
    </row>
    <row r="612" spans="27:36">
      <c r="AA612" s="37"/>
      <c r="AJ612" s="102"/>
    </row>
    <row r="613" spans="27:36">
      <c r="AA613" s="37"/>
      <c r="AJ613" s="102"/>
    </row>
    <row r="614" spans="27:36">
      <c r="AA614" s="37"/>
      <c r="AJ614" s="102"/>
    </row>
    <row r="615" spans="27:36">
      <c r="AA615" s="37"/>
      <c r="AJ615" s="102"/>
    </row>
    <row r="616" spans="27:36">
      <c r="AA616" s="37"/>
      <c r="AJ616" s="102"/>
    </row>
    <row r="617" spans="27:36">
      <c r="AA617" s="37"/>
      <c r="AJ617" s="102"/>
    </row>
    <row r="618" spans="27:36">
      <c r="AA618" s="37"/>
      <c r="AJ618" s="102"/>
    </row>
    <row r="619" spans="27:36">
      <c r="AA619" s="37"/>
      <c r="AJ619" s="102"/>
    </row>
    <row r="620" spans="27:36">
      <c r="AA620" s="37"/>
      <c r="AJ620" s="102"/>
    </row>
    <row r="621" spans="27:36">
      <c r="AA621" s="37"/>
      <c r="AJ621" s="102"/>
    </row>
    <row r="622" spans="27:36">
      <c r="AA622" s="37"/>
      <c r="AJ622" s="102"/>
    </row>
    <row r="623" spans="27:36">
      <c r="AA623" s="37"/>
      <c r="AJ623" s="102"/>
    </row>
    <row r="624" spans="27:36">
      <c r="AA624" s="37"/>
      <c r="AJ624" s="102"/>
    </row>
    <row r="625" spans="27:36">
      <c r="AA625" s="37"/>
      <c r="AJ625" s="102"/>
    </row>
    <row r="626" spans="27:36">
      <c r="AA626" s="37"/>
      <c r="AJ626" s="102"/>
    </row>
    <row r="627" spans="27:36">
      <c r="AA627" s="37"/>
      <c r="AJ627" s="102"/>
    </row>
    <row r="628" spans="27:36">
      <c r="AA628" s="37"/>
      <c r="AJ628" s="102"/>
    </row>
    <row r="629" spans="27:36">
      <c r="AA629" s="37"/>
      <c r="AJ629" s="102"/>
    </row>
    <row r="630" spans="27:36">
      <c r="AA630" s="37"/>
      <c r="AJ630" s="102"/>
    </row>
    <row r="631" spans="27:36">
      <c r="AA631" s="37"/>
      <c r="AJ631" s="102"/>
    </row>
    <row r="632" spans="27:36">
      <c r="AA632" s="37"/>
      <c r="AJ632" s="102"/>
    </row>
    <row r="633" spans="27:36">
      <c r="AA633" s="37"/>
      <c r="AJ633" s="102"/>
    </row>
    <row r="634" spans="27:36">
      <c r="AA634" s="37"/>
      <c r="AJ634" s="102"/>
    </row>
    <row r="635" spans="27:36">
      <c r="AA635" s="37"/>
      <c r="AJ635" s="102"/>
    </row>
    <row r="636" spans="27:36">
      <c r="AA636" s="37"/>
      <c r="AJ636" s="102"/>
    </row>
    <row r="637" spans="27:36">
      <c r="AA637" s="37"/>
      <c r="AJ637" s="102"/>
    </row>
    <row r="638" spans="27:36">
      <c r="AA638" s="37"/>
      <c r="AJ638" s="102"/>
    </row>
    <row r="639" spans="27:36">
      <c r="AA639" s="37"/>
      <c r="AJ639" s="102"/>
    </row>
    <row r="640" spans="27:36">
      <c r="AA640" s="37"/>
      <c r="AJ640" s="102"/>
    </row>
    <row r="641" spans="27:36">
      <c r="AA641" s="37"/>
      <c r="AJ641" s="102"/>
    </row>
    <row r="642" spans="27:36">
      <c r="AA642" s="37"/>
      <c r="AJ642" s="102"/>
    </row>
    <row r="643" spans="27:36">
      <c r="AA643" s="37"/>
      <c r="AJ643" s="102"/>
    </row>
    <row r="644" spans="27:36">
      <c r="AA644" s="37"/>
      <c r="AJ644" s="102"/>
    </row>
    <row r="645" spans="27:36">
      <c r="AA645" s="37"/>
      <c r="AJ645" s="102"/>
    </row>
    <row r="646" spans="27:36">
      <c r="AA646" s="37"/>
      <c r="AJ646" s="102"/>
    </row>
    <row r="647" spans="27:36">
      <c r="AA647" s="37"/>
      <c r="AJ647" s="102"/>
    </row>
    <row r="648" spans="27:36">
      <c r="AA648" s="37"/>
      <c r="AJ648" s="102"/>
    </row>
    <row r="649" spans="27:36">
      <c r="AA649" s="37"/>
      <c r="AJ649" s="102"/>
    </row>
    <row r="650" spans="27:36">
      <c r="AA650" s="37"/>
      <c r="AJ650" s="102"/>
    </row>
    <row r="651" spans="27:36">
      <c r="AA651" s="37"/>
      <c r="AJ651" s="102"/>
    </row>
    <row r="652" spans="27:36">
      <c r="AA652" s="37"/>
      <c r="AJ652" s="102"/>
    </row>
    <row r="653" spans="27:36">
      <c r="AA653" s="37"/>
      <c r="AJ653" s="102"/>
    </row>
    <row r="654" spans="27:36">
      <c r="AA654" s="37"/>
      <c r="AJ654" s="102"/>
    </row>
    <row r="655" spans="27:36">
      <c r="AA655" s="37"/>
      <c r="AJ655" s="102"/>
    </row>
    <row r="656" spans="27:36">
      <c r="AA656" s="37"/>
      <c r="AJ656" s="102"/>
    </row>
    <row r="657" spans="27:36">
      <c r="AA657" s="37"/>
      <c r="AJ657" s="102"/>
    </row>
    <row r="658" spans="27:36">
      <c r="AA658" s="37"/>
      <c r="AJ658" s="102"/>
    </row>
    <row r="659" spans="27:36">
      <c r="AA659" s="37"/>
      <c r="AJ659" s="102"/>
    </row>
    <row r="660" spans="27:36">
      <c r="AA660" s="37"/>
      <c r="AJ660" s="102"/>
    </row>
    <row r="661" spans="27:36">
      <c r="AA661" s="37"/>
      <c r="AJ661" s="102"/>
    </row>
    <row r="662" spans="27:36">
      <c r="AA662" s="37"/>
      <c r="AJ662" s="102"/>
    </row>
    <row r="663" spans="27:36">
      <c r="AA663" s="37"/>
      <c r="AJ663" s="102"/>
    </row>
    <row r="664" spans="27:36">
      <c r="AA664" s="37"/>
      <c r="AJ664" s="102"/>
    </row>
    <row r="665" spans="27:36">
      <c r="AA665" s="37"/>
      <c r="AJ665" s="102"/>
    </row>
    <row r="666" spans="27:36">
      <c r="AA666" s="37"/>
      <c r="AJ666" s="102"/>
    </row>
    <row r="667" spans="27:36">
      <c r="AA667" s="37"/>
      <c r="AJ667" s="102"/>
    </row>
    <row r="668" spans="27:36">
      <c r="AA668" s="37"/>
      <c r="AJ668" s="102"/>
    </row>
    <row r="669" spans="27:36">
      <c r="AA669" s="37"/>
      <c r="AJ669" s="102"/>
    </row>
    <row r="670" spans="27:36">
      <c r="AA670" s="37"/>
      <c r="AJ670" s="102"/>
    </row>
    <row r="671" spans="27:36">
      <c r="AA671" s="37"/>
      <c r="AJ671" s="102"/>
    </row>
    <row r="672" spans="27:36">
      <c r="AA672" s="37"/>
      <c r="AJ672" s="102"/>
    </row>
    <row r="673" spans="27:36">
      <c r="AA673" s="37"/>
      <c r="AJ673" s="102"/>
    </row>
    <row r="674" spans="27:36">
      <c r="AA674" s="37"/>
      <c r="AJ674" s="102"/>
    </row>
    <row r="675" spans="27:36">
      <c r="AA675" s="37"/>
      <c r="AJ675" s="102"/>
    </row>
    <row r="676" spans="27:36">
      <c r="AA676" s="37"/>
      <c r="AJ676" s="102"/>
    </row>
    <row r="677" spans="27:36">
      <c r="AA677" s="37"/>
      <c r="AJ677" s="102"/>
    </row>
    <row r="678" spans="27:36">
      <c r="AA678" s="37"/>
      <c r="AJ678" s="102"/>
    </row>
    <row r="679" spans="27:36">
      <c r="AA679" s="37"/>
      <c r="AJ679" s="102"/>
    </row>
    <row r="680" spans="27:36">
      <c r="AA680" s="37"/>
      <c r="AJ680" s="102"/>
    </row>
    <row r="681" spans="27:36">
      <c r="AA681" s="37"/>
      <c r="AJ681" s="102"/>
    </row>
    <row r="682" spans="27:36">
      <c r="AA682" s="37"/>
      <c r="AJ682" s="102"/>
    </row>
    <row r="683" spans="27:36">
      <c r="AA683" s="37"/>
      <c r="AJ683" s="102"/>
    </row>
    <row r="684" spans="27:36">
      <c r="AA684" s="37"/>
      <c r="AJ684" s="102"/>
    </row>
    <row r="685" spans="27:36">
      <c r="AA685" s="37"/>
      <c r="AJ685" s="102"/>
    </row>
    <row r="686" spans="27:36">
      <c r="AA686" s="37"/>
      <c r="AJ686" s="102"/>
    </row>
    <row r="687" spans="27:36">
      <c r="AA687" s="37"/>
      <c r="AJ687" s="102"/>
    </row>
    <row r="688" spans="27:36">
      <c r="AA688" s="37"/>
      <c r="AJ688" s="102"/>
    </row>
    <row r="689" spans="27:36">
      <c r="AA689" s="37"/>
      <c r="AJ689" s="102"/>
    </row>
    <row r="690" spans="27:36">
      <c r="AA690" s="37"/>
      <c r="AJ690" s="102"/>
    </row>
    <row r="691" spans="27:36">
      <c r="AA691" s="37"/>
      <c r="AJ691" s="102"/>
    </row>
    <row r="692" spans="27:36">
      <c r="AA692" s="37"/>
      <c r="AJ692" s="102"/>
    </row>
    <row r="693" spans="27:36">
      <c r="AA693" s="37"/>
      <c r="AJ693" s="102"/>
    </row>
    <row r="694" spans="27:36">
      <c r="AA694" s="37"/>
      <c r="AJ694" s="102"/>
    </row>
    <row r="695" spans="27:36">
      <c r="AA695" s="37"/>
      <c r="AJ695" s="102"/>
    </row>
    <row r="696" spans="27:36">
      <c r="AA696" s="37"/>
      <c r="AJ696" s="102"/>
    </row>
    <row r="697" spans="27:36">
      <c r="AA697" s="37"/>
      <c r="AJ697" s="102"/>
    </row>
    <row r="698" spans="27:36">
      <c r="AA698" s="37"/>
      <c r="AJ698" s="102"/>
    </row>
    <row r="699" spans="27:36">
      <c r="AA699" s="37"/>
      <c r="AJ699" s="102"/>
    </row>
    <row r="700" spans="27:36">
      <c r="AA700" s="37"/>
      <c r="AJ700" s="102"/>
    </row>
    <row r="701" spans="27:36">
      <c r="AA701" s="37"/>
      <c r="AJ701" s="102"/>
    </row>
    <row r="702" spans="27:36">
      <c r="AA702" s="37"/>
      <c r="AJ702" s="102"/>
    </row>
    <row r="703" spans="27:36">
      <c r="AA703" s="37"/>
      <c r="AJ703" s="102"/>
    </row>
    <row r="704" spans="27:36">
      <c r="AA704" s="37"/>
      <c r="AJ704" s="102"/>
    </row>
    <row r="705" spans="27:36">
      <c r="AA705" s="37"/>
      <c r="AJ705" s="102"/>
    </row>
    <row r="706" spans="27:36">
      <c r="AA706" s="37"/>
      <c r="AJ706" s="102"/>
    </row>
    <row r="707" spans="27:36">
      <c r="AA707" s="37"/>
      <c r="AJ707" s="102"/>
    </row>
    <row r="708" spans="27:36">
      <c r="AA708" s="37"/>
      <c r="AJ708" s="102"/>
    </row>
    <row r="709" spans="27:36">
      <c r="AA709" s="37"/>
      <c r="AJ709" s="102"/>
    </row>
    <row r="710" spans="27:36">
      <c r="AA710" s="37"/>
      <c r="AJ710" s="102"/>
    </row>
    <row r="711" spans="27:36">
      <c r="AA711" s="37"/>
      <c r="AJ711" s="102"/>
    </row>
    <row r="712" spans="27:36">
      <c r="AA712" s="37"/>
      <c r="AJ712" s="102"/>
    </row>
    <row r="713" spans="27:36">
      <c r="AA713" s="37"/>
      <c r="AJ713" s="102"/>
    </row>
    <row r="714" spans="27:36">
      <c r="AA714" s="37"/>
      <c r="AJ714" s="102"/>
    </row>
    <row r="715" spans="27:36">
      <c r="AA715" s="37"/>
      <c r="AJ715" s="102"/>
    </row>
    <row r="716" spans="27:36">
      <c r="AA716" s="37"/>
      <c r="AJ716" s="102"/>
    </row>
    <row r="717" spans="27:36">
      <c r="AA717" s="37"/>
      <c r="AJ717" s="102"/>
    </row>
    <row r="718" spans="27:36">
      <c r="AA718" s="37"/>
      <c r="AJ718" s="102"/>
    </row>
    <row r="719" spans="27:36">
      <c r="AA719" s="37"/>
      <c r="AJ719" s="102"/>
    </row>
    <row r="720" spans="27:36">
      <c r="AA720" s="37"/>
      <c r="AJ720" s="102"/>
    </row>
    <row r="721" spans="27:36">
      <c r="AA721" s="37"/>
      <c r="AJ721" s="102"/>
    </row>
    <row r="722" spans="27:36">
      <c r="AA722" s="37"/>
      <c r="AJ722" s="102"/>
    </row>
    <row r="723" spans="27:36">
      <c r="AA723" s="37"/>
      <c r="AJ723" s="102"/>
    </row>
    <row r="724" spans="27:36">
      <c r="AA724" s="37"/>
      <c r="AJ724" s="102"/>
    </row>
    <row r="725" spans="27:36">
      <c r="AA725" s="37"/>
      <c r="AJ725" s="102"/>
    </row>
    <row r="726" spans="27:36">
      <c r="AA726" s="37"/>
      <c r="AJ726" s="102"/>
    </row>
    <row r="727" spans="27:36">
      <c r="AA727" s="37"/>
      <c r="AJ727" s="102"/>
    </row>
    <row r="728" spans="27:36">
      <c r="AA728" s="37"/>
      <c r="AJ728" s="102"/>
    </row>
    <row r="729" spans="27:36">
      <c r="AA729" s="37"/>
      <c r="AJ729" s="102"/>
    </row>
    <row r="730" spans="27:36">
      <c r="AA730" s="37"/>
      <c r="AJ730" s="102"/>
    </row>
    <row r="731" spans="27:36">
      <c r="AA731" s="37"/>
      <c r="AJ731" s="102"/>
    </row>
    <row r="732" spans="27:36">
      <c r="AA732" s="37"/>
      <c r="AJ732" s="102"/>
    </row>
    <row r="733" spans="27:36">
      <c r="AA733" s="37"/>
      <c r="AJ733" s="102"/>
    </row>
    <row r="734" spans="27:36">
      <c r="AA734" s="37"/>
      <c r="AJ734" s="102"/>
    </row>
    <row r="735" spans="27:36">
      <c r="AA735" s="37"/>
      <c r="AJ735" s="102"/>
    </row>
    <row r="736" spans="27:36">
      <c r="AA736" s="37"/>
      <c r="AJ736" s="102"/>
    </row>
    <row r="737" spans="27:36">
      <c r="AA737" s="37"/>
      <c r="AJ737" s="102"/>
    </row>
    <row r="738" spans="27:36">
      <c r="AA738" s="37"/>
      <c r="AJ738" s="102"/>
    </row>
    <row r="739" spans="27:36">
      <c r="AA739" s="37"/>
      <c r="AJ739" s="102"/>
    </row>
    <row r="740" spans="27:36">
      <c r="AA740" s="37"/>
      <c r="AJ740" s="102"/>
    </row>
    <row r="741" spans="27:36">
      <c r="AA741" s="37"/>
      <c r="AJ741" s="102"/>
    </row>
    <row r="742" spans="27:36">
      <c r="AA742" s="37"/>
      <c r="AJ742" s="102"/>
    </row>
    <row r="743" spans="27:36">
      <c r="AA743" s="37"/>
      <c r="AJ743" s="102"/>
    </row>
    <row r="744" spans="27:36">
      <c r="AA744" s="37"/>
      <c r="AJ744" s="102"/>
    </row>
    <row r="745" spans="27:36">
      <c r="AA745" s="37"/>
      <c r="AJ745" s="102"/>
    </row>
    <row r="746" spans="27:36">
      <c r="AA746" s="37"/>
      <c r="AJ746" s="102"/>
    </row>
    <row r="747" spans="27:36">
      <c r="AA747" s="37"/>
      <c r="AJ747" s="102"/>
    </row>
    <row r="748" spans="27:36">
      <c r="AA748" s="37"/>
      <c r="AJ748" s="102"/>
    </row>
    <row r="749" spans="27:36">
      <c r="AA749" s="37"/>
      <c r="AJ749" s="102"/>
    </row>
    <row r="750" spans="27:36">
      <c r="AA750" s="37"/>
      <c r="AJ750" s="102"/>
    </row>
    <row r="751" spans="27:36">
      <c r="AA751" s="37"/>
      <c r="AJ751" s="102"/>
    </row>
    <row r="752" spans="27:36">
      <c r="AA752" s="37"/>
      <c r="AJ752" s="102"/>
    </row>
    <row r="753" spans="27:36">
      <c r="AA753" s="37"/>
      <c r="AJ753" s="102"/>
    </row>
    <row r="754" spans="27:36">
      <c r="AA754" s="37"/>
      <c r="AJ754" s="102"/>
    </row>
    <row r="755" spans="27:36">
      <c r="AA755" s="37"/>
      <c r="AJ755" s="102"/>
    </row>
    <row r="756" spans="27:36">
      <c r="AA756" s="37"/>
      <c r="AJ756" s="102"/>
    </row>
    <row r="757" spans="27:36">
      <c r="AA757" s="37"/>
      <c r="AJ757" s="102"/>
    </row>
    <row r="758" spans="27:36">
      <c r="AA758" s="37"/>
      <c r="AJ758" s="102"/>
    </row>
    <row r="759" spans="27:36">
      <c r="AA759" s="37"/>
      <c r="AJ759" s="102"/>
    </row>
    <row r="760" spans="27:36">
      <c r="AA760" s="37"/>
      <c r="AJ760" s="102"/>
    </row>
    <row r="761" spans="27:36">
      <c r="AA761" s="37"/>
      <c r="AJ761" s="102"/>
    </row>
    <row r="762" spans="27:36">
      <c r="AA762" s="37"/>
      <c r="AJ762" s="102"/>
    </row>
    <row r="763" spans="27:36">
      <c r="AA763" s="37"/>
      <c r="AJ763" s="102"/>
    </row>
    <row r="764" spans="27:36">
      <c r="AA764" s="37"/>
      <c r="AJ764" s="102"/>
    </row>
    <row r="765" spans="27:36">
      <c r="AA765" s="37"/>
      <c r="AJ765" s="102"/>
    </row>
    <row r="766" spans="27:36">
      <c r="AA766" s="37"/>
      <c r="AJ766" s="102"/>
    </row>
    <row r="767" spans="27:36">
      <c r="AA767" s="37"/>
      <c r="AJ767" s="102"/>
    </row>
    <row r="768" spans="27:36">
      <c r="AA768" s="37"/>
      <c r="AJ768" s="102"/>
    </row>
    <row r="769" spans="27:36">
      <c r="AA769" s="37"/>
      <c r="AJ769" s="102"/>
    </row>
    <row r="770" spans="27:36">
      <c r="AA770" s="37"/>
      <c r="AJ770" s="102"/>
    </row>
    <row r="771" spans="27:36">
      <c r="AA771" s="37"/>
      <c r="AJ771" s="102"/>
    </row>
    <row r="772" spans="27:36">
      <c r="AA772" s="37"/>
      <c r="AJ772" s="102"/>
    </row>
    <row r="773" spans="27:36">
      <c r="AA773" s="37"/>
      <c r="AJ773" s="102"/>
    </row>
    <row r="774" spans="27:36">
      <c r="AA774" s="37"/>
      <c r="AJ774" s="102"/>
    </row>
    <row r="775" spans="27:36">
      <c r="AA775" s="37"/>
      <c r="AJ775" s="102"/>
    </row>
    <row r="776" spans="27:36">
      <c r="AA776" s="37"/>
      <c r="AJ776" s="102"/>
    </row>
    <row r="777" spans="27:36">
      <c r="AA777" s="37"/>
      <c r="AJ777" s="102"/>
    </row>
    <row r="778" spans="27:36">
      <c r="AA778" s="37"/>
      <c r="AJ778" s="102"/>
    </row>
    <row r="779" spans="27:36">
      <c r="AA779" s="37"/>
      <c r="AJ779" s="102"/>
    </row>
    <row r="780" spans="27:36">
      <c r="AA780" s="37"/>
      <c r="AJ780" s="102"/>
    </row>
    <row r="781" spans="27:36">
      <c r="AA781" s="37"/>
      <c r="AJ781" s="102"/>
    </row>
    <row r="782" spans="27:36">
      <c r="AA782" s="37"/>
      <c r="AJ782" s="102"/>
    </row>
    <row r="783" spans="27:36">
      <c r="AA783" s="37"/>
      <c r="AJ783" s="102"/>
    </row>
    <row r="784" spans="27:36">
      <c r="AA784" s="37"/>
      <c r="AJ784" s="102"/>
    </row>
    <row r="785" spans="27:36">
      <c r="AA785" s="37"/>
      <c r="AJ785" s="102"/>
    </row>
    <row r="786" spans="27:36">
      <c r="AA786" s="37"/>
      <c r="AJ786" s="102"/>
    </row>
    <row r="787" spans="27:36">
      <c r="AA787" s="37"/>
      <c r="AJ787" s="102"/>
    </row>
    <row r="788" spans="27:36">
      <c r="AA788" s="37"/>
      <c r="AJ788" s="102"/>
    </row>
    <row r="789" spans="27:36">
      <c r="AA789" s="37"/>
      <c r="AJ789" s="102"/>
    </row>
    <row r="790" spans="27:36">
      <c r="AA790" s="37"/>
      <c r="AJ790" s="102"/>
    </row>
    <row r="791" spans="27:36">
      <c r="AA791" s="37"/>
      <c r="AJ791" s="102"/>
    </row>
    <row r="792" spans="27:36">
      <c r="AA792" s="37"/>
      <c r="AJ792" s="102"/>
    </row>
    <row r="793" spans="27:36">
      <c r="AA793" s="37"/>
      <c r="AJ793" s="102"/>
    </row>
    <row r="794" spans="27:36">
      <c r="AA794" s="37"/>
      <c r="AJ794" s="102"/>
    </row>
    <row r="795" spans="27:36">
      <c r="AA795" s="37"/>
      <c r="AJ795" s="102"/>
    </row>
    <row r="796" spans="27:36">
      <c r="AA796" s="37"/>
      <c r="AJ796" s="102"/>
    </row>
    <row r="797" spans="27:36">
      <c r="AA797" s="37"/>
      <c r="AJ797" s="102"/>
    </row>
    <row r="798" spans="27:36">
      <c r="AA798" s="37"/>
      <c r="AJ798" s="102"/>
    </row>
    <row r="799" spans="27:36">
      <c r="AA799" s="37"/>
      <c r="AJ799" s="102"/>
    </row>
    <row r="800" spans="27:36">
      <c r="AA800" s="37"/>
      <c r="AJ800" s="102"/>
    </row>
    <row r="801" spans="27:36">
      <c r="AA801" s="37"/>
      <c r="AJ801" s="102"/>
    </row>
    <row r="802" spans="27:36">
      <c r="AA802" s="37"/>
      <c r="AJ802" s="102"/>
    </row>
    <row r="803" spans="27:36">
      <c r="AA803" s="37"/>
      <c r="AJ803" s="102"/>
    </row>
    <row r="804" spans="27:36">
      <c r="AA804" s="37"/>
      <c r="AJ804" s="102"/>
    </row>
    <row r="805" spans="27:36">
      <c r="AA805" s="37"/>
      <c r="AJ805" s="102"/>
    </row>
    <row r="806" spans="27:36">
      <c r="AA806" s="37"/>
      <c r="AJ806" s="102"/>
    </row>
    <row r="807" spans="27:36">
      <c r="AA807" s="37"/>
      <c r="AJ807" s="102"/>
    </row>
    <row r="808" spans="27:36">
      <c r="AA808" s="37"/>
      <c r="AJ808" s="102"/>
    </row>
    <row r="809" spans="27:36">
      <c r="AA809" s="37"/>
      <c r="AJ809" s="102"/>
    </row>
    <row r="810" spans="27:36">
      <c r="AA810" s="37"/>
      <c r="AJ810" s="102"/>
    </row>
    <row r="811" spans="27:36">
      <c r="AA811" s="37"/>
      <c r="AJ811" s="102"/>
    </row>
    <row r="812" spans="27:36">
      <c r="AA812" s="37"/>
      <c r="AJ812" s="102"/>
    </row>
    <row r="813" spans="27:36">
      <c r="AA813" s="37"/>
      <c r="AJ813" s="102"/>
    </row>
    <row r="814" spans="27:36">
      <c r="AA814" s="37"/>
      <c r="AJ814" s="102"/>
    </row>
    <row r="815" spans="27:36">
      <c r="AA815" s="37"/>
      <c r="AJ815" s="102"/>
    </row>
    <row r="816" spans="27:36">
      <c r="AA816" s="37"/>
      <c r="AJ816" s="102"/>
    </row>
    <row r="817" spans="27:36">
      <c r="AA817" s="37"/>
      <c r="AJ817" s="102"/>
    </row>
    <row r="818" spans="27:36">
      <c r="AA818" s="37"/>
      <c r="AJ818" s="102"/>
    </row>
    <row r="819" spans="27:36">
      <c r="AA819" s="37"/>
      <c r="AJ819" s="102"/>
    </row>
    <row r="820" spans="27:36">
      <c r="AA820" s="37"/>
      <c r="AJ820" s="102"/>
    </row>
    <row r="821" spans="27:36">
      <c r="AA821" s="37"/>
      <c r="AJ821" s="102"/>
    </row>
    <row r="822" spans="27:36">
      <c r="AA822" s="37"/>
      <c r="AJ822" s="102"/>
    </row>
    <row r="823" spans="27:36">
      <c r="AA823" s="37"/>
      <c r="AJ823" s="102"/>
    </row>
    <row r="824" spans="27:36">
      <c r="AA824" s="37"/>
      <c r="AJ824" s="102"/>
    </row>
    <row r="825" spans="27:36">
      <c r="AA825" s="37"/>
      <c r="AJ825" s="102"/>
    </row>
    <row r="826" spans="27:36">
      <c r="AA826" s="37"/>
      <c r="AJ826" s="102"/>
    </row>
    <row r="827" spans="27:36">
      <c r="AA827" s="37"/>
      <c r="AJ827" s="102"/>
    </row>
    <row r="828" spans="27:36">
      <c r="AA828" s="37"/>
      <c r="AJ828" s="102"/>
    </row>
    <row r="829" spans="27:36">
      <c r="AA829" s="37"/>
      <c r="AJ829" s="102"/>
    </row>
    <row r="830" spans="27:36">
      <c r="AA830" s="37"/>
      <c r="AJ830" s="102"/>
    </row>
    <row r="831" spans="27:36">
      <c r="AA831" s="37"/>
      <c r="AJ831" s="102"/>
    </row>
    <row r="832" spans="27:36">
      <c r="AA832" s="37"/>
      <c r="AJ832" s="102"/>
    </row>
    <row r="833" spans="27:36">
      <c r="AA833" s="37"/>
      <c r="AJ833" s="102"/>
    </row>
    <row r="834" spans="27:36">
      <c r="AA834" s="37"/>
      <c r="AJ834" s="102"/>
    </row>
    <row r="835" spans="27:36">
      <c r="AA835" s="37"/>
      <c r="AJ835" s="102"/>
    </row>
    <row r="836" spans="27:36">
      <c r="AA836" s="37"/>
      <c r="AJ836" s="102"/>
    </row>
    <row r="837" spans="27:36">
      <c r="AA837" s="37"/>
      <c r="AJ837" s="102"/>
    </row>
    <row r="838" spans="27:36">
      <c r="AA838" s="37"/>
      <c r="AJ838" s="102"/>
    </row>
    <row r="839" spans="27:36">
      <c r="AA839" s="37"/>
      <c r="AJ839" s="102"/>
    </row>
    <row r="840" spans="27:36">
      <c r="AA840" s="37"/>
      <c r="AJ840" s="102"/>
    </row>
    <row r="841" spans="27:36">
      <c r="AA841" s="37"/>
      <c r="AJ841" s="102"/>
    </row>
    <row r="842" spans="27:36">
      <c r="AA842" s="37"/>
      <c r="AJ842" s="102"/>
    </row>
    <row r="843" spans="27:36">
      <c r="AA843" s="37"/>
      <c r="AJ843" s="102"/>
    </row>
    <row r="844" spans="27:36">
      <c r="AA844" s="37"/>
      <c r="AJ844" s="102"/>
    </row>
    <row r="845" spans="27:36">
      <c r="AA845" s="37"/>
      <c r="AJ845" s="102"/>
    </row>
    <row r="846" spans="27:36">
      <c r="AA846" s="37"/>
      <c r="AJ846" s="102"/>
    </row>
    <row r="847" spans="27:36">
      <c r="AA847" s="37"/>
      <c r="AJ847" s="102"/>
    </row>
    <row r="848" spans="27:36">
      <c r="AA848" s="37"/>
      <c r="AJ848" s="102"/>
    </row>
    <row r="849" spans="27:36">
      <c r="AA849" s="37"/>
      <c r="AJ849" s="102"/>
    </row>
    <row r="850" spans="27:36">
      <c r="AA850" s="37"/>
      <c r="AJ850" s="102"/>
    </row>
    <row r="851" spans="27:36">
      <c r="AA851" s="37"/>
      <c r="AJ851" s="102"/>
    </row>
    <row r="852" spans="27:36">
      <c r="AA852" s="37"/>
      <c r="AJ852" s="102"/>
    </row>
    <row r="853" spans="27:36">
      <c r="AA853" s="37"/>
      <c r="AJ853" s="102"/>
    </row>
    <row r="854" spans="27:36">
      <c r="AA854" s="37"/>
      <c r="AJ854" s="102"/>
    </row>
    <row r="855" spans="27:36">
      <c r="AA855" s="37"/>
      <c r="AJ855" s="102"/>
    </row>
    <row r="856" spans="27:36">
      <c r="AA856" s="37"/>
      <c r="AJ856" s="102"/>
    </row>
    <row r="857" spans="27:36">
      <c r="AA857" s="37"/>
      <c r="AJ857" s="102"/>
    </row>
    <row r="858" spans="27:36">
      <c r="AA858" s="37"/>
      <c r="AJ858" s="102"/>
    </row>
    <row r="859" spans="27:36">
      <c r="AA859" s="37"/>
      <c r="AJ859" s="102"/>
    </row>
    <row r="860" spans="27:36">
      <c r="AA860" s="37"/>
      <c r="AJ860" s="102"/>
    </row>
    <row r="861" spans="27:36">
      <c r="AA861" s="37"/>
      <c r="AJ861" s="102"/>
    </row>
    <row r="862" spans="27:36">
      <c r="AA862" s="37"/>
      <c r="AJ862" s="102"/>
    </row>
    <row r="863" spans="27:36">
      <c r="AA863" s="37"/>
      <c r="AJ863" s="102"/>
    </row>
    <row r="864" spans="27:36">
      <c r="AA864" s="37"/>
      <c r="AJ864" s="102"/>
    </row>
    <row r="865" spans="27:36">
      <c r="AA865" s="37"/>
      <c r="AJ865" s="102"/>
    </row>
    <row r="866" spans="27:36">
      <c r="AA866" s="37"/>
      <c r="AJ866" s="102"/>
    </row>
    <row r="867" spans="27:36">
      <c r="AA867" s="37"/>
      <c r="AJ867" s="102"/>
    </row>
    <row r="868" spans="27:36">
      <c r="AA868" s="37"/>
      <c r="AJ868" s="102"/>
    </row>
    <row r="869" spans="27:36">
      <c r="AA869" s="37"/>
      <c r="AJ869" s="102"/>
    </row>
    <row r="870" spans="27:36">
      <c r="AA870" s="37"/>
      <c r="AJ870" s="102"/>
    </row>
    <row r="871" spans="27:36">
      <c r="AA871" s="37"/>
      <c r="AJ871" s="102"/>
    </row>
    <row r="872" spans="27:36">
      <c r="AA872" s="37"/>
      <c r="AJ872" s="102"/>
    </row>
    <row r="873" spans="27:36">
      <c r="AA873" s="37"/>
      <c r="AJ873" s="102"/>
    </row>
    <row r="874" spans="27:36">
      <c r="AA874" s="37"/>
      <c r="AJ874" s="102"/>
    </row>
    <row r="875" spans="27:36">
      <c r="AA875" s="37"/>
      <c r="AJ875" s="102"/>
    </row>
    <row r="876" spans="27:36">
      <c r="AA876" s="37"/>
      <c r="AJ876" s="102"/>
    </row>
    <row r="877" spans="27:36">
      <c r="AA877" s="37"/>
      <c r="AJ877" s="102"/>
    </row>
    <row r="878" spans="27:36">
      <c r="AA878" s="37"/>
      <c r="AJ878" s="102"/>
    </row>
    <row r="879" spans="27:36">
      <c r="AA879" s="37"/>
      <c r="AJ879" s="102"/>
    </row>
    <row r="880" spans="27:36">
      <c r="AA880" s="37"/>
      <c r="AJ880" s="102"/>
    </row>
    <row r="881" spans="27:36">
      <c r="AA881" s="37"/>
      <c r="AJ881" s="102"/>
    </row>
    <row r="882" spans="27:36">
      <c r="AA882" s="37"/>
      <c r="AJ882" s="102"/>
    </row>
    <row r="883" spans="27:36">
      <c r="AA883" s="37"/>
      <c r="AJ883" s="102"/>
    </row>
    <row r="884" spans="27:36">
      <c r="AA884" s="37"/>
      <c r="AJ884" s="102"/>
    </row>
    <row r="885" spans="27:36">
      <c r="AA885" s="37"/>
      <c r="AJ885" s="102"/>
    </row>
    <row r="886" spans="27:36">
      <c r="AA886" s="37"/>
      <c r="AJ886" s="102"/>
    </row>
    <row r="887" spans="27:36">
      <c r="AA887" s="37"/>
      <c r="AJ887" s="102"/>
    </row>
    <row r="888" spans="27:36">
      <c r="AA888" s="37"/>
      <c r="AJ888" s="102"/>
    </row>
    <row r="889" spans="27:36">
      <c r="AA889" s="37"/>
      <c r="AJ889" s="102"/>
    </row>
    <row r="890" spans="27:36">
      <c r="AA890" s="37"/>
      <c r="AJ890" s="102"/>
    </row>
    <row r="891" spans="27:36">
      <c r="AA891" s="37"/>
      <c r="AJ891" s="102"/>
    </row>
    <row r="892" spans="27:36">
      <c r="AA892" s="37"/>
      <c r="AJ892" s="102"/>
    </row>
    <row r="893" spans="27:36">
      <c r="AA893" s="37"/>
      <c r="AJ893" s="102"/>
    </row>
    <row r="894" spans="27:36">
      <c r="AA894" s="37"/>
      <c r="AJ894" s="102"/>
    </row>
    <row r="895" spans="27:36">
      <c r="AA895" s="37"/>
      <c r="AJ895" s="102"/>
    </row>
    <row r="896" spans="27:36">
      <c r="AA896" s="37"/>
      <c r="AJ896" s="102"/>
    </row>
    <row r="897" spans="27:36">
      <c r="AA897" s="37"/>
      <c r="AJ897" s="102"/>
    </row>
    <row r="898" spans="27:36">
      <c r="AA898" s="37"/>
      <c r="AJ898" s="102"/>
    </row>
    <row r="899" spans="27:36">
      <c r="AA899" s="37"/>
      <c r="AJ899" s="102"/>
    </row>
    <row r="900" spans="27:36">
      <c r="AA900" s="37"/>
      <c r="AJ900" s="102"/>
    </row>
    <row r="901" spans="27:36">
      <c r="AA901" s="37"/>
      <c r="AJ901" s="102"/>
    </row>
    <row r="902" spans="27:36">
      <c r="AA902" s="37"/>
      <c r="AJ902" s="102"/>
    </row>
    <row r="903" spans="27:36">
      <c r="AA903" s="37"/>
      <c r="AJ903" s="102"/>
    </row>
    <row r="904" spans="27:36">
      <c r="AA904" s="37"/>
      <c r="AJ904" s="102"/>
    </row>
    <row r="905" spans="27:36">
      <c r="AA905" s="37"/>
      <c r="AJ905" s="102"/>
    </row>
    <row r="906" spans="27:36">
      <c r="AA906" s="37"/>
      <c r="AJ906" s="102"/>
    </row>
    <row r="907" spans="27:36">
      <c r="AA907" s="37"/>
      <c r="AJ907" s="102"/>
    </row>
    <row r="908" spans="27:36">
      <c r="AA908" s="37"/>
      <c r="AJ908" s="102"/>
    </row>
    <row r="909" spans="27:36">
      <c r="AA909" s="37"/>
      <c r="AJ909" s="102"/>
    </row>
    <row r="910" spans="27:36">
      <c r="AA910" s="37"/>
      <c r="AJ910" s="102"/>
    </row>
    <row r="911" spans="27:36">
      <c r="AA911" s="37"/>
      <c r="AJ911" s="102"/>
    </row>
    <row r="912" spans="27:36">
      <c r="AA912" s="37"/>
      <c r="AJ912" s="102"/>
    </row>
    <row r="913" spans="27:36">
      <c r="AA913" s="37"/>
      <c r="AJ913" s="102"/>
    </row>
    <row r="914" spans="27:36">
      <c r="AA914" s="37"/>
      <c r="AJ914" s="102"/>
    </row>
    <row r="915" spans="27:36">
      <c r="AA915" s="37"/>
      <c r="AJ915" s="102"/>
    </row>
    <row r="916" spans="27:36">
      <c r="AA916" s="37"/>
      <c r="AJ916" s="102"/>
    </row>
    <row r="917" spans="27:36">
      <c r="AA917" s="37"/>
      <c r="AJ917" s="102"/>
    </row>
    <row r="918" spans="27:36">
      <c r="AA918" s="37"/>
      <c r="AJ918" s="102"/>
    </row>
    <row r="919" spans="27:36">
      <c r="AA919" s="37"/>
      <c r="AJ919" s="102"/>
    </row>
    <row r="920" spans="27:36">
      <c r="AA920" s="37"/>
      <c r="AJ920" s="102"/>
    </row>
    <row r="921" spans="27:36">
      <c r="AA921" s="37"/>
      <c r="AJ921" s="102"/>
    </row>
    <row r="922" spans="27:36">
      <c r="AA922" s="37"/>
      <c r="AJ922" s="102"/>
    </row>
    <row r="923" spans="27:36">
      <c r="AA923" s="37"/>
      <c r="AJ923" s="102"/>
    </row>
    <row r="924" spans="27:36">
      <c r="AA924" s="37"/>
      <c r="AJ924" s="102"/>
    </row>
    <row r="925" spans="27:36">
      <c r="AA925" s="37"/>
      <c r="AJ925" s="102"/>
    </row>
    <row r="926" spans="27:36">
      <c r="AA926" s="37"/>
      <c r="AJ926" s="102"/>
    </row>
    <row r="927" spans="27:36">
      <c r="AA927" s="37"/>
      <c r="AJ927" s="102"/>
    </row>
    <row r="928" spans="27:36">
      <c r="AA928" s="37"/>
      <c r="AJ928" s="102"/>
    </row>
    <row r="929" spans="27:36">
      <c r="AA929" s="37"/>
      <c r="AJ929" s="102"/>
    </row>
    <row r="930" spans="27:36">
      <c r="AA930" s="37"/>
      <c r="AJ930" s="102"/>
    </row>
    <row r="931" spans="27:36">
      <c r="AA931" s="37"/>
      <c r="AJ931" s="102"/>
    </row>
    <row r="932" spans="27:36">
      <c r="AA932" s="37"/>
      <c r="AJ932" s="102"/>
    </row>
    <row r="933" spans="27:36">
      <c r="AA933" s="37"/>
      <c r="AJ933" s="102"/>
    </row>
    <row r="934" spans="27:36">
      <c r="AA934" s="37"/>
      <c r="AJ934" s="102"/>
    </row>
    <row r="935" spans="27:36">
      <c r="AA935" s="37"/>
      <c r="AJ935" s="102"/>
    </row>
    <row r="936" spans="27:36">
      <c r="AA936" s="37"/>
      <c r="AJ936" s="102"/>
    </row>
    <row r="937" spans="27:36">
      <c r="AA937" s="37"/>
      <c r="AJ937" s="102"/>
    </row>
    <row r="938" spans="27:36">
      <c r="AA938" s="37"/>
      <c r="AJ938" s="102"/>
    </row>
    <row r="939" spans="27:36">
      <c r="AA939" s="37"/>
      <c r="AJ939" s="102"/>
    </row>
    <row r="940" spans="27:36">
      <c r="AA940" s="37"/>
      <c r="AJ940" s="102"/>
    </row>
    <row r="941" spans="27:36">
      <c r="AA941" s="37"/>
      <c r="AJ941" s="102"/>
    </row>
    <row r="942" spans="27:36">
      <c r="AA942" s="37"/>
      <c r="AJ942" s="102"/>
    </row>
    <row r="943" spans="27:36">
      <c r="AA943" s="37"/>
      <c r="AJ943" s="102"/>
    </row>
    <row r="944" spans="27:36">
      <c r="AA944" s="37"/>
      <c r="AJ944" s="102"/>
    </row>
    <row r="945" spans="27:36">
      <c r="AA945" s="37"/>
      <c r="AJ945" s="102"/>
    </row>
    <row r="946" spans="27:36">
      <c r="AA946" s="37"/>
      <c r="AJ946" s="102"/>
    </row>
    <row r="947" spans="27:36">
      <c r="AA947" s="37"/>
      <c r="AJ947" s="102"/>
    </row>
    <row r="948" spans="27:36">
      <c r="AA948" s="37"/>
      <c r="AJ948" s="102"/>
    </row>
    <row r="949" spans="27:36">
      <c r="AA949" s="37"/>
      <c r="AJ949" s="102"/>
    </row>
    <row r="950" spans="27:36">
      <c r="AA950" s="37"/>
      <c r="AJ950" s="102"/>
    </row>
    <row r="951" spans="27:36">
      <c r="AA951" s="37"/>
      <c r="AJ951" s="102"/>
    </row>
    <row r="952" spans="27:36">
      <c r="AA952" s="37"/>
      <c r="AJ952" s="102"/>
    </row>
    <row r="953" spans="27:36">
      <c r="AA953" s="37"/>
      <c r="AJ953" s="102"/>
    </row>
    <row r="954" spans="27:36">
      <c r="AA954" s="37"/>
      <c r="AJ954" s="102"/>
    </row>
    <row r="955" spans="27:36">
      <c r="AA955" s="37"/>
      <c r="AJ955" s="102"/>
    </row>
    <row r="956" spans="27:36">
      <c r="AA956" s="37"/>
      <c r="AJ956" s="102"/>
    </row>
    <row r="957" spans="27:36">
      <c r="AA957" s="37"/>
      <c r="AJ957" s="102"/>
    </row>
    <row r="958" spans="27:36">
      <c r="AA958" s="37"/>
      <c r="AJ958" s="102"/>
    </row>
    <row r="959" spans="27:36">
      <c r="AA959" s="37"/>
      <c r="AJ959" s="102"/>
    </row>
    <row r="960" spans="27:36">
      <c r="AA960" s="37"/>
      <c r="AJ960" s="102"/>
    </row>
    <row r="961" spans="27:36">
      <c r="AA961" s="37"/>
      <c r="AJ961" s="102"/>
    </row>
    <row r="962" spans="27:36">
      <c r="AA962" s="37"/>
      <c r="AJ962" s="102"/>
    </row>
    <row r="963" spans="27:36">
      <c r="AA963" s="37"/>
      <c r="AJ963" s="102"/>
    </row>
    <row r="964" spans="27:36">
      <c r="AA964" s="37"/>
      <c r="AJ964" s="102"/>
    </row>
    <row r="965" spans="27:36">
      <c r="AA965" s="37"/>
      <c r="AJ965" s="102"/>
    </row>
    <row r="966" spans="27:36">
      <c r="AA966" s="37"/>
      <c r="AJ966" s="102"/>
    </row>
    <row r="967" spans="27:36">
      <c r="AA967" s="37"/>
      <c r="AJ967" s="102"/>
    </row>
    <row r="968" spans="27:36">
      <c r="AA968" s="37"/>
      <c r="AJ968" s="102"/>
    </row>
    <row r="969" spans="27:36">
      <c r="AA969" s="37"/>
      <c r="AJ969" s="102"/>
    </row>
    <row r="970" spans="27:36">
      <c r="AA970" s="37"/>
      <c r="AJ970" s="102"/>
    </row>
    <row r="971" spans="27:36">
      <c r="AA971" s="37"/>
      <c r="AJ971" s="102"/>
    </row>
    <row r="972" spans="27:36">
      <c r="AA972" s="37"/>
      <c r="AJ972" s="102"/>
    </row>
    <row r="973" spans="27:36">
      <c r="AA973" s="37"/>
      <c r="AJ973" s="102"/>
    </row>
    <row r="974" spans="27:36">
      <c r="AA974" s="37"/>
      <c r="AJ974" s="102"/>
    </row>
    <row r="975" spans="27:36">
      <c r="AA975" s="37"/>
      <c r="AJ975" s="102"/>
    </row>
    <row r="976" spans="27:36">
      <c r="AA976" s="37"/>
      <c r="AJ976" s="102"/>
    </row>
    <row r="977" spans="27:36">
      <c r="AA977" s="37"/>
      <c r="AJ977" s="102"/>
    </row>
    <row r="978" spans="27:36">
      <c r="AA978" s="37"/>
      <c r="AJ978" s="102"/>
    </row>
    <row r="979" spans="27:36">
      <c r="AA979" s="37"/>
      <c r="AJ979" s="102"/>
    </row>
    <row r="980" spans="27:36">
      <c r="AA980" s="37"/>
      <c r="AJ980" s="102"/>
    </row>
    <row r="981" spans="27:36">
      <c r="AA981" s="37"/>
      <c r="AJ981" s="102"/>
    </row>
    <row r="982" spans="27:36">
      <c r="AA982" s="37"/>
      <c r="AJ982" s="102"/>
    </row>
    <row r="983" spans="27:36">
      <c r="AA983" s="37"/>
      <c r="AJ983" s="102"/>
    </row>
    <row r="984" spans="27:36">
      <c r="AA984" s="37"/>
      <c r="AJ984" s="102"/>
    </row>
    <row r="985" spans="27:36">
      <c r="AA985" s="37"/>
      <c r="AJ985" s="102"/>
    </row>
    <row r="986" spans="27:36">
      <c r="AA986" s="37"/>
      <c r="AJ986" s="102"/>
    </row>
    <row r="987" spans="27:36">
      <c r="AA987" s="37"/>
      <c r="AJ987" s="102"/>
    </row>
    <row r="988" spans="27:36">
      <c r="AA988" s="37"/>
      <c r="AJ988" s="102"/>
    </row>
    <row r="989" spans="27:36">
      <c r="AA989" s="37"/>
      <c r="AJ989" s="102"/>
    </row>
    <row r="990" spans="27:36">
      <c r="AA990" s="37"/>
      <c r="AJ990" s="102"/>
    </row>
    <row r="991" spans="27:36">
      <c r="AA991" s="37"/>
      <c r="AJ991" s="102"/>
    </row>
    <row r="992" spans="27:36">
      <c r="AA992" s="37"/>
      <c r="AJ992" s="102"/>
    </row>
    <row r="993" spans="27:36">
      <c r="AA993" s="37"/>
      <c r="AJ993" s="102"/>
    </row>
    <row r="994" spans="27:36">
      <c r="AA994" s="37"/>
      <c r="AJ994" s="102"/>
    </row>
    <row r="995" spans="27:36">
      <c r="AA995" s="37"/>
      <c r="AJ995" s="102"/>
    </row>
    <row r="996" spans="27:36">
      <c r="AA996" s="37"/>
      <c r="AJ996" s="102"/>
    </row>
    <row r="997" spans="27:36">
      <c r="AA997" s="37"/>
      <c r="AJ997" s="102"/>
    </row>
    <row r="998" spans="27:36">
      <c r="AA998" s="37"/>
      <c r="AJ998" s="102"/>
    </row>
    <row r="999" spans="27:36">
      <c r="AA999" s="37"/>
      <c r="AJ999" s="102"/>
    </row>
    <row r="1000" spans="27:36">
      <c r="AA1000" s="37"/>
      <c r="AJ1000" s="102"/>
    </row>
    <row r="1001" spans="27:36">
      <c r="AA1001" s="37"/>
      <c r="AJ1001" s="102"/>
    </row>
    <row r="1002" spans="27:36">
      <c r="AA1002" s="37"/>
      <c r="AJ1002" s="102"/>
    </row>
    <row r="1003" spans="27:36">
      <c r="AA1003" s="37"/>
      <c r="AJ1003" s="102"/>
    </row>
    <row r="1004" spans="27:36">
      <c r="AA1004" s="37"/>
      <c r="AJ1004" s="102"/>
    </row>
    <row r="1005" spans="27:36">
      <c r="AA1005" s="37"/>
      <c r="AJ1005" s="102"/>
    </row>
    <row r="1006" spans="27:36">
      <c r="AA1006" s="37"/>
      <c r="AJ1006" s="102"/>
    </row>
    <row r="1007" spans="27:36">
      <c r="AA1007" s="37"/>
      <c r="AJ1007" s="102"/>
    </row>
    <row r="1008" spans="27:36">
      <c r="AA1008" s="37"/>
      <c r="AJ1008" s="102"/>
    </row>
    <row r="1009" spans="27:36">
      <c r="AA1009" s="37"/>
      <c r="AJ1009" s="102"/>
    </row>
    <row r="1010" spans="27:36">
      <c r="AA1010" s="37"/>
      <c r="AJ1010" s="102"/>
    </row>
    <row r="1011" spans="27:36">
      <c r="AA1011" s="37"/>
      <c r="AJ1011" s="102"/>
    </row>
    <row r="1012" spans="27:36">
      <c r="AJ1012" s="102"/>
    </row>
  </sheetData>
  <mergeCells count="14">
    <mergeCell ref="AB1:AC1"/>
    <mergeCell ref="AD1:AE1"/>
    <mergeCell ref="AF1:AG1"/>
    <mergeCell ref="Z1:AA1"/>
    <mergeCell ref="O1:P1"/>
    <mergeCell ref="Q1:R1"/>
    <mergeCell ref="T1:U1"/>
    <mergeCell ref="V1:W1"/>
    <mergeCell ref="X1:Y1"/>
    <mergeCell ref="A1:G2"/>
    <mergeCell ref="H1:H2"/>
    <mergeCell ref="I1:J1"/>
    <mergeCell ref="K1:L1"/>
    <mergeCell ref="M1:N1"/>
  </mergeCells>
  <phoneticPr fontId="58" type="noConversion"/>
  <conditionalFormatting sqref="J27 L27">
    <cfRule type="cellIs" dxfId="22" priority="12" operator="lessThan">
      <formula>0</formula>
    </cfRule>
  </conditionalFormatting>
  <conditionalFormatting sqref="M18:N18 AK44">
    <cfRule type="cellIs" dxfId="21" priority="13" operator="between">
      <formula>0.01</formula>
      <formula>1</formula>
    </cfRule>
  </conditionalFormatting>
  <conditionalFormatting sqref="O18:AI18">
    <cfRule type="cellIs" dxfId="20" priority="3" operator="lessThan">
      <formula>-0.01</formula>
    </cfRule>
  </conditionalFormatting>
  <conditionalFormatting sqref="X18">
    <cfRule type="cellIs" dxfId="19" priority="15" operator="between">
      <formula>0.01</formula>
      <formula>1</formula>
    </cfRule>
  </conditionalFormatting>
  <conditionalFormatting sqref="Z115:AA115">
    <cfRule type="cellIs" dxfId="18" priority="16" operator="lessThan">
      <formula>-0.01</formula>
    </cfRule>
  </conditionalFormatting>
  <conditionalFormatting sqref="AA126">
    <cfRule type="cellIs" dxfId="17" priority="17" operator="lessThan">
      <formula>-0.01</formula>
    </cfRule>
  </conditionalFormatting>
  <conditionalFormatting sqref="AD115">
    <cfRule type="cellIs" dxfId="16" priority="19" operator="lessThan">
      <formula>-0.01</formula>
    </cfRule>
  </conditionalFormatting>
  <conditionalFormatting sqref="AF115:AI115">
    <cfRule type="cellIs" dxfId="15" priority="4" operator="lessThan">
      <formula>-0.01</formula>
    </cfRule>
  </conditionalFormatting>
  <conditionalFormatting sqref="AK3:AK9 AK12:AK15 AK17:AK22 I18:L18 AK27 AK29:AK36 AK46:AK51 AK86:AK91 AK93:AK103 AK105:AK109 AK113:AK115 AK117:AK125 AK137:AK139 AK157:AK160 AK162 AK164:AK165 AK167:AK177 AK190 AK208:AK211 AK214:AK218 AK367:AK373 AK387 AK389:AK411">
    <cfRule type="cellIs" dxfId="14" priority="31" operator="lessThan">
      <formula>-0.01</formula>
    </cfRule>
  </conditionalFormatting>
  <conditionalFormatting sqref="AK39:AK40 AK42:AK43 AK375:AK381 AK383:AK385">
    <cfRule type="cellIs" dxfId="13" priority="14" operator="lessThan">
      <formula>-0.01</formula>
    </cfRule>
  </conditionalFormatting>
  <conditionalFormatting sqref="AK53:AK63">
    <cfRule type="cellIs" dxfId="12" priority="33" operator="lessThan">
      <formula>-0.01</formula>
    </cfRule>
  </conditionalFormatting>
  <conditionalFormatting sqref="AK65:AK84">
    <cfRule type="cellIs" dxfId="11" priority="34" operator="lessThan">
      <formula>-0.01</formula>
    </cfRule>
  </conditionalFormatting>
  <conditionalFormatting sqref="AK127:AK128">
    <cfRule type="cellIs" dxfId="10" priority="9" operator="lessThan">
      <formula>-0.01</formula>
    </cfRule>
  </conditionalFormatting>
  <conditionalFormatting sqref="AK142">
    <cfRule type="cellIs" dxfId="9" priority="10" operator="lessThan">
      <formula>-0.01</formula>
    </cfRule>
  </conditionalFormatting>
  <conditionalFormatting sqref="AK145:AK154">
    <cfRule type="cellIs" dxfId="8" priority="35" operator="lessThan">
      <formula>-0.01</formula>
    </cfRule>
  </conditionalFormatting>
  <conditionalFormatting sqref="AK194:AK205">
    <cfRule type="cellIs" dxfId="7" priority="7" operator="lessThan">
      <formula>-0.01</formula>
    </cfRule>
  </conditionalFormatting>
  <conditionalFormatting sqref="AK221:AK226">
    <cfRule type="cellIs" dxfId="6" priority="36" operator="lessThan">
      <formula>-0.01</formula>
    </cfRule>
  </conditionalFormatting>
  <conditionalFormatting sqref="AK229:AK231 AK234:AK251">
    <cfRule type="cellIs" dxfId="5" priority="37" operator="lessThan">
      <formula>-0.01</formula>
    </cfRule>
  </conditionalFormatting>
  <conditionalFormatting sqref="AK254:AK258 AK261:AK363">
    <cfRule type="cellIs" dxfId="4" priority="38" operator="lessThan">
      <formula>-0.01</formula>
    </cfRule>
  </conditionalFormatting>
  <conditionalFormatting sqref="AN1:AN145 AN149:AN154 AN157:AN1048576">
    <cfRule type="cellIs" dxfId="3" priority="39" operator="greaterThan">
      <formula>5000</formula>
    </cfRule>
    <cfRule type="cellIs" dxfId="2" priority="40" operator="lessThan">
      <formula>0</formula>
    </cfRule>
  </conditionalFormatting>
  <conditionalFormatting sqref="AJ18">
    <cfRule type="cellIs" dxfId="1" priority="1" operator="lessThan">
      <formula>-0.01</formula>
    </cfRule>
  </conditionalFormatting>
  <conditionalFormatting sqref="AJ115">
    <cfRule type="cellIs" dxfId="0" priority="2" operator="lessThan">
      <formula>-0.01</formula>
    </cfRule>
  </conditionalFormatting>
  <pageMargins left="0.70833333333333304" right="0.70833333333333304" top="1.1812499999999999" bottom="1.1812499999999999" header="0.51180555555555496" footer="0.51180555555555496"/>
  <pageSetup paperSize="9" scale="44" firstPageNumber="0" fitToHeight="0" orientation="landscape" r:id="rId1"/>
  <rowBreaks count="10" manualBreakCount="10">
    <brk id="35" max="16383" man="1"/>
    <brk id="95" max="16383" man="1"/>
    <brk id="137" max="16383" man="1"/>
    <brk id="177" max="16383" man="1"/>
    <brk id="201" max="16383" man="1"/>
    <brk id="237" max="16383" man="1"/>
    <brk id="266" max="16383" man="1"/>
    <brk id="297" max="16383" man="1"/>
    <brk id="331" max="16383" man="1"/>
    <brk id="371"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zoomScale="85" zoomScaleNormal="85" workbookViewId="0">
      <selection activeCell="D3" sqref="D3"/>
    </sheetView>
  </sheetViews>
  <sheetFormatPr baseColWidth="10" defaultColWidth="7.125" defaultRowHeight="14.25"/>
  <cols>
    <col min="1" max="1" width="36" customWidth="1"/>
    <col min="2" max="2" width="24.875" customWidth="1"/>
    <col min="3" max="3" width="24.125" customWidth="1"/>
    <col min="4" max="4" width="28.125" customWidth="1"/>
  </cols>
  <sheetData>
    <row r="1" spans="1:4" ht="13.5" customHeight="1">
      <c r="A1" s="787" t="s">
        <v>431</v>
      </c>
      <c r="B1" s="1084" t="s">
        <v>434</v>
      </c>
      <c r="C1" s="1085"/>
      <c r="D1" s="789"/>
    </row>
    <row r="2" spans="1:4">
      <c r="A2" s="799"/>
      <c r="B2" s="798" t="s">
        <v>432</v>
      </c>
      <c r="C2" s="798" t="s">
        <v>439</v>
      </c>
      <c r="D2" s="798" t="s">
        <v>69</v>
      </c>
    </row>
    <row r="3" spans="1:4">
      <c r="A3" s="797" t="s">
        <v>436</v>
      </c>
      <c r="B3" s="789"/>
      <c r="C3" s="790"/>
      <c r="D3" s="789"/>
    </row>
    <row r="4" spans="1:4">
      <c r="A4" s="298" t="s">
        <v>433</v>
      </c>
      <c r="B4" s="800">
        <f>(38873+41948)*176.4</f>
        <v>14256824.4</v>
      </c>
      <c r="C4" s="801">
        <f>(38873+41948)*176.4</f>
        <v>14256824.4</v>
      </c>
      <c r="D4" s="298"/>
    </row>
    <row r="5" spans="1:4">
      <c r="A5" s="298" t="s">
        <v>437</v>
      </c>
      <c r="B5" s="800">
        <f>(38873+41948)*176.4</f>
        <v>14256824.4</v>
      </c>
      <c r="C5" s="801">
        <f>(38873+41948)*176.4</f>
        <v>14256824.4</v>
      </c>
      <c r="D5" s="298"/>
    </row>
    <row r="6" spans="1:4">
      <c r="A6" s="298"/>
      <c r="B6" s="800"/>
      <c r="C6" s="801"/>
      <c r="D6" s="298"/>
    </row>
    <row r="7" spans="1:4">
      <c r="A7" s="793" t="s">
        <v>459</v>
      </c>
      <c r="B7" s="795"/>
      <c r="C7" s="791"/>
      <c r="D7" s="789"/>
    </row>
    <row r="8" spans="1:4">
      <c r="A8" s="298" t="s">
        <v>435</v>
      </c>
      <c r="B8" s="800">
        <f>(38873+41948)*176.4</f>
        <v>14256824.4</v>
      </c>
      <c r="C8" s="801">
        <f>(38873+41948)*176.4</f>
        <v>14256824.4</v>
      </c>
      <c r="D8" s="298"/>
    </row>
    <row r="9" spans="1:4">
      <c r="A9" s="298" t="s">
        <v>438</v>
      </c>
      <c r="B9" s="800">
        <f>(38873+41948)*176.4</f>
        <v>14256824.4</v>
      </c>
      <c r="C9" s="801">
        <f>(38873+41948)*176.4</f>
        <v>14256824.4</v>
      </c>
      <c r="D9" s="298"/>
    </row>
    <row r="10" spans="1:4">
      <c r="A10" s="298"/>
      <c r="B10" s="800"/>
      <c r="C10" s="801"/>
      <c r="D10" s="298"/>
    </row>
    <row r="11" spans="1:4">
      <c r="A11" s="794" t="s">
        <v>419</v>
      </c>
      <c r="B11" s="796">
        <v>0</v>
      </c>
      <c r="C11" s="792">
        <v>0</v>
      </c>
      <c r="D11" s="788"/>
    </row>
    <row r="12" spans="1:4">
      <c r="A12" s="802"/>
      <c r="B12" s="802"/>
      <c r="C12" s="802"/>
      <c r="D12" s="802"/>
    </row>
    <row r="13" spans="1:4">
      <c r="A13" s="802"/>
      <c r="B13" s="802"/>
      <c r="C13" s="802"/>
      <c r="D13" s="802"/>
    </row>
    <row r="14" spans="1:4">
      <c r="A14" s="802"/>
      <c r="B14" s="802"/>
      <c r="C14" s="802"/>
      <c r="D14" s="802"/>
    </row>
    <row r="15" spans="1:4">
      <c r="A15" s="802"/>
      <c r="B15" s="802"/>
      <c r="C15" s="802"/>
      <c r="D15" s="802"/>
    </row>
    <row r="16" spans="1:4">
      <c r="A16" s="3"/>
      <c r="B16" s="803"/>
      <c r="C16" s="802"/>
      <c r="D16" s="802"/>
    </row>
    <row r="17" spans="1:4">
      <c r="A17" s="802"/>
      <c r="B17" s="804"/>
      <c r="C17" s="802"/>
      <c r="D17" s="802"/>
    </row>
    <row r="18" spans="1:4">
      <c r="A18" s="802"/>
      <c r="B18" s="804"/>
      <c r="C18" s="802"/>
      <c r="D18" s="802"/>
    </row>
    <row r="19" spans="1:4" ht="15">
      <c r="B19" s="667"/>
    </row>
    <row r="20" spans="1:4" ht="15">
      <c r="B20" s="667"/>
    </row>
    <row r="21" spans="1:4" ht="15">
      <c r="B21" s="667"/>
    </row>
    <row r="22" spans="1:4" ht="15">
      <c r="B22" s="667"/>
    </row>
  </sheetData>
  <mergeCells count="1">
    <mergeCell ref="B1:C1"/>
  </mergeCells>
  <pageMargins left="0.7" right="0.7" top="1.1812499999999999" bottom="1.1812499999999999" header="0.51180555555555496" footer="0.51180555555555496"/>
  <pageSetup paperSize="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EEA6-9D48-4D4C-9C24-6F90CCAAEFD9}">
  <dimension ref="A1:P27"/>
  <sheetViews>
    <sheetView workbookViewId="0">
      <selection activeCell="D46" sqref="D46"/>
    </sheetView>
  </sheetViews>
  <sheetFormatPr baseColWidth="10" defaultRowHeight="14.25"/>
  <cols>
    <col min="1" max="1" width="22.5" customWidth="1"/>
    <col min="2" max="2" width="11.5" bestFit="1" customWidth="1"/>
    <col min="3" max="3" width="11.25" bestFit="1" customWidth="1"/>
    <col min="4" max="4" width="11.375" bestFit="1" customWidth="1"/>
    <col min="5" max="8" width="13.625" bestFit="1" customWidth="1"/>
    <col min="9" max="9" width="12.875" customWidth="1"/>
    <col min="10" max="10" width="14.125" customWidth="1"/>
    <col min="11" max="11" width="14.625" customWidth="1"/>
    <col min="12" max="12" width="13.375" customWidth="1"/>
    <col min="13" max="13" width="13.625" customWidth="1"/>
    <col min="14" max="14" width="12.75" customWidth="1"/>
    <col min="15" max="15" width="13.5" customWidth="1"/>
    <col min="16" max="16" width="39.75" customWidth="1"/>
  </cols>
  <sheetData>
    <row r="1" spans="1:16">
      <c r="A1" s="787" t="s">
        <v>469</v>
      </c>
      <c r="B1" s="812">
        <v>2018</v>
      </c>
      <c r="C1" s="812" t="s">
        <v>461</v>
      </c>
      <c r="D1" s="812" t="s">
        <v>462</v>
      </c>
      <c r="E1" s="812" t="s">
        <v>463</v>
      </c>
      <c r="F1" s="812" t="s">
        <v>464</v>
      </c>
      <c r="G1" s="812" t="s">
        <v>465</v>
      </c>
      <c r="H1" s="812" t="s">
        <v>466</v>
      </c>
      <c r="I1" s="1086" t="s">
        <v>467</v>
      </c>
      <c r="J1" s="1087"/>
      <c r="K1" s="1086" t="s">
        <v>468</v>
      </c>
      <c r="L1" s="1087"/>
      <c r="M1" s="827" t="s">
        <v>480</v>
      </c>
      <c r="N1" s="827" t="s">
        <v>481</v>
      </c>
      <c r="O1" s="827" t="s">
        <v>482</v>
      </c>
      <c r="P1" s="816"/>
    </row>
    <row r="2" spans="1:16">
      <c r="A2" s="799"/>
      <c r="B2" s="798" t="s">
        <v>478</v>
      </c>
      <c r="C2" s="798" t="s">
        <v>478</v>
      </c>
      <c r="D2" s="798" t="s">
        <v>478</v>
      </c>
      <c r="E2" s="798" t="s">
        <v>478</v>
      </c>
      <c r="F2" s="798" t="s">
        <v>478</v>
      </c>
      <c r="G2" s="798" t="s">
        <v>478</v>
      </c>
      <c r="H2" s="798" t="s">
        <v>478</v>
      </c>
      <c r="I2" s="798" t="s">
        <v>62</v>
      </c>
      <c r="J2" s="798" t="s">
        <v>68</v>
      </c>
      <c r="K2" s="798" t="s">
        <v>62</v>
      </c>
      <c r="L2" s="186" t="s">
        <v>479</v>
      </c>
      <c r="M2" s="798" t="s">
        <v>62</v>
      </c>
      <c r="N2" s="798" t="s">
        <v>62</v>
      </c>
      <c r="O2" s="798" t="s">
        <v>62</v>
      </c>
      <c r="P2" s="798" t="s">
        <v>69</v>
      </c>
    </row>
    <row r="3" spans="1:16">
      <c r="A3" s="797" t="s">
        <v>470</v>
      </c>
      <c r="B3" s="789"/>
      <c r="C3" s="790"/>
      <c r="D3" s="789"/>
      <c r="E3" s="789"/>
      <c r="F3" s="789"/>
      <c r="G3" s="789"/>
      <c r="H3" s="789"/>
      <c r="I3" s="789"/>
      <c r="J3" s="789"/>
      <c r="K3" s="789"/>
      <c r="L3" s="790"/>
      <c r="M3" s="811"/>
      <c r="N3" s="790"/>
      <c r="O3" s="790"/>
      <c r="P3" s="816"/>
    </row>
    <row r="4" spans="1:16">
      <c r="A4" s="298" t="s">
        <v>471</v>
      </c>
      <c r="B4" s="813">
        <v>81070.52</v>
      </c>
      <c r="C4" s="814">
        <f>B17</f>
        <v>29165.229999999981</v>
      </c>
      <c r="D4" s="814">
        <f t="shared" ref="D4:H4" si="0">C17</f>
        <v>-25555.010000000009</v>
      </c>
      <c r="E4" s="814">
        <f t="shared" si="0"/>
        <v>-27610.179999999993</v>
      </c>
      <c r="F4" s="814">
        <f t="shared" si="0"/>
        <v>-120484.01000000001</v>
      </c>
      <c r="G4" s="814">
        <f t="shared" si="0"/>
        <v>-75281.87</v>
      </c>
      <c r="H4" s="814">
        <f t="shared" si="0"/>
        <v>37604.100000000006</v>
      </c>
      <c r="I4" s="821">
        <f>H17</f>
        <v>17972.489999999932</v>
      </c>
      <c r="J4" s="814">
        <f>H17</f>
        <v>17972.489999999932</v>
      </c>
      <c r="K4" s="824">
        <f>I17</f>
        <v>35612.569999999978</v>
      </c>
      <c r="L4" s="814">
        <v>-80063.820000000007</v>
      </c>
      <c r="M4" s="828">
        <f>K17</f>
        <v>17933.369999999966</v>
      </c>
      <c r="N4" s="829">
        <f>M17</f>
        <v>8175.7699999999313</v>
      </c>
      <c r="O4" s="829">
        <f>N17</f>
        <v>14056.169999999925</v>
      </c>
      <c r="P4" s="830"/>
    </row>
    <row r="5" spans="1:16">
      <c r="A5" s="298" t="s">
        <v>474</v>
      </c>
      <c r="B5" s="813">
        <v>265019.59999999998</v>
      </c>
      <c r="C5" s="814">
        <v>268834.59999999998</v>
      </c>
      <c r="D5" s="813">
        <v>241157.2</v>
      </c>
      <c r="E5" s="813">
        <v>188201</v>
      </c>
      <c r="F5" s="813">
        <v>273948.7</v>
      </c>
      <c r="G5" s="813">
        <v>251611.3</v>
      </c>
      <c r="H5" s="813">
        <v>267851.59999999998</v>
      </c>
      <c r="I5" s="822">
        <f>36952*6.8</f>
        <v>251273.60000000001</v>
      </c>
      <c r="J5" s="813">
        <v>136000</v>
      </c>
      <c r="K5" s="822">
        <f>39838*5.2</f>
        <v>207157.6</v>
      </c>
      <c r="L5" s="814">
        <v>104000</v>
      </c>
      <c r="M5" s="828">
        <f>36952*5.6</f>
        <v>206931.19999999998</v>
      </c>
      <c r="N5" s="829">
        <f>39838*5.6</f>
        <v>223092.8</v>
      </c>
      <c r="O5" s="829">
        <f>36952*5.6</f>
        <v>206931.19999999998</v>
      </c>
      <c r="P5" s="830"/>
    </row>
    <row r="6" spans="1:16">
      <c r="A6" s="298" t="s">
        <v>472</v>
      </c>
      <c r="B6" s="813">
        <v>0</v>
      </c>
      <c r="C6" s="814">
        <v>0</v>
      </c>
      <c r="D6" s="813">
        <v>55000</v>
      </c>
      <c r="E6" s="813">
        <v>0</v>
      </c>
      <c r="F6" s="813">
        <v>0</v>
      </c>
      <c r="G6" s="813">
        <v>0</v>
      </c>
      <c r="H6" s="813">
        <v>-55000</v>
      </c>
      <c r="I6" s="822">
        <v>0</v>
      </c>
      <c r="J6" s="813">
        <v>0</v>
      </c>
      <c r="K6" s="822">
        <v>0</v>
      </c>
      <c r="L6" s="814">
        <v>0</v>
      </c>
      <c r="M6" s="828">
        <v>0</v>
      </c>
      <c r="N6" s="829">
        <v>0</v>
      </c>
      <c r="O6" s="829">
        <v>0</v>
      </c>
      <c r="P6" s="830"/>
    </row>
    <row r="7" spans="1:16">
      <c r="A7" s="298" t="s">
        <v>473</v>
      </c>
      <c r="B7" s="813">
        <v>0</v>
      </c>
      <c r="C7" s="814">
        <v>0</v>
      </c>
      <c r="D7" s="814">
        <v>0</v>
      </c>
      <c r="E7" s="813">
        <v>0</v>
      </c>
      <c r="F7" s="813">
        <v>0</v>
      </c>
      <c r="G7" s="813">
        <v>58606.45</v>
      </c>
      <c r="H7" s="813">
        <v>0</v>
      </c>
      <c r="I7" s="822">
        <v>0</v>
      </c>
      <c r="J7" s="813">
        <v>0</v>
      </c>
      <c r="K7" s="822">
        <v>0</v>
      </c>
      <c r="L7" s="814">
        <v>0</v>
      </c>
      <c r="M7" s="828">
        <v>0</v>
      </c>
      <c r="N7" s="829">
        <v>0</v>
      </c>
      <c r="O7" s="829">
        <v>0</v>
      </c>
      <c r="P7" s="830"/>
    </row>
    <row r="8" spans="1:16">
      <c r="A8" s="298" t="s">
        <v>437</v>
      </c>
      <c r="B8" s="814">
        <f>SUM(B4:B7)</f>
        <v>346090.12</v>
      </c>
      <c r="C8" s="814">
        <f t="shared" ref="C8:O8" si="1">SUM(C4:C7)</f>
        <v>297999.82999999996</v>
      </c>
      <c r="D8" s="814">
        <f t="shared" si="1"/>
        <v>270602.19</v>
      </c>
      <c r="E8" s="814">
        <f t="shared" si="1"/>
        <v>160590.82</v>
      </c>
      <c r="F8" s="814">
        <f t="shared" si="1"/>
        <v>153464.69</v>
      </c>
      <c r="G8" s="814">
        <f t="shared" si="1"/>
        <v>234935.88</v>
      </c>
      <c r="H8" s="814">
        <f t="shared" si="1"/>
        <v>250455.69999999995</v>
      </c>
      <c r="I8" s="821">
        <f t="shared" si="1"/>
        <v>269246.08999999997</v>
      </c>
      <c r="J8" s="814">
        <f t="shared" si="1"/>
        <v>153972.48999999993</v>
      </c>
      <c r="K8" s="821">
        <f t="shared" si="1"/>
        <v>242770.16999999998</v>
      </c>
      <c r="L8" s="814">
        <f>SUM(L4:L7)</f>
        <v>23936.179999999993</v>
      </c>
      <c r="M8" s="829">
        <f t="shared" si="1"/>
        <v>224864.56999999995</v>
      </c>
      <c r="N8" s="829">
        <f t="shared" si="1"/>
        <v>231268.56999999992</v>
      </c>
      <c r="O8" s="829">
        <f t="shared" si="1"/>
        <v>220987.36999999991</v>
      </c>
      <c r="P8" s="830"/>
    </row>
    <row r="9" spans="1:16">
      <c r="A9" s="298"/>
      <c r="B9" s="813"/>
      <c r="C9" s="814"/>
      <c r="D9" s="813"/>
      <c r="E9" s="813"/>
      <c r="F9" s="813"/>
      <c r="G9" s="813"/>
      <c r="H9" s="813"/>
      <c r="I9" s="822"/>
      <c r="J9" s="813"/>
      <c r="K9" s="822"/>
      <c r="L9" s="814"/>
      <c r="M9" s="825"/>
      <c r="N9" s="814"/>
      <c r="O9" s="814"/>
      <c r="P9" s="830"/>
    </row>
    <row r="10" spans="1:16">
      <c r="A10" s="793" t="s">
        <v>459</v>
      </c>
      <c r="B10" s="815"/>
      <c r="C10" s="816"/>
      <c r="D10" s="815"/>
      <c r="E10" s="815"/>
      <c r="F10" s="815"/>
      <c r="G10" s="815"/>
      <c r="H10" s="815"/>
      <c r="I10" s="815"/>
      <c r="J10" s="815"/>
      <c r="K10" s="815"/>
      <c r="L10" s="816"/>
      <c r="M10" s="826"/>
      <c r="N10" s="816"/>
      <c r="O10" s="816"/>
      <c r="P10" s="831"/>
    </row>
    <row r="11" spans="1:16">
      <c r="A11" s="298" t="s">
        <v>475</v>
      </c>
      <c r="B11" s="813">
        <v>270876</v>
      </c>
      <c r="C11" s="814">
        <v>281402.09999999998</v>
      </c>
      <c r="D11" s="813">
        <v>248287.1</v>
      </c>
      <c r="E11" s="813">
        <v>248177.1</v>
      </c>
      <c r="F11" s="813">
        <v>186446</v>
      </c>
      <c r="G11" s="813">
        <v>166820.22</v>
      </c>
      <c r="H11" s="813">
        <v>180879.35</v>
      </c>
      <c r="I11" s="823">
        <v>195122.4</v>
      </c>
      <c r="J11" s="813">
        <v>195122.4</v>
      </c>
      <c r="K11" s="822">
        <f>991*184.8</f>
        <v>183136.80000000002</v>
      </c>
      <c r="L11" s="814">
        <v>0</v>
      </c>
      <c r="M11" s="822">
        <f>992*176.4</f>
        <v>174988.80000000002</v>
      </c>
      <c r="N11" s="822">
        <f>991*176.4</f>
        <v>174812.4</v>
      </c>
      <c r="O11" s="822">
        <f>992*176.4</f>
        <v>174988.80000000002</v>
      </c>
      <c r="P11" s="832" t="s">
        <v>483</v>
      </c>
    </row>
    <row r="12" spans="1:16">
      <c r="A12" s="298" t="s">
        <v>476</v>
      </c>
      <c r="B12" s="813">
        <v>37370.14</v>
      </c>
      <c r="C12" s="814">
        <v>34187.67</v>
      </c>
      <c r="D12" s="813">
        <v>40755.32</v>
      </c>
      <c r="E12" s="813">
        <v>26759.1</v>
      </c>
      <c r="F12" s="813">
        <v>34531.07</v>
      </c>
      <c r="G12" s="813">
        <v>24907.94</v>
      </c>
      <c r="H12" s="813">
        <v>42125.599999999999</v>
      </c>
      <c r="I12" s="823">
        <v>31437.65</v>
      </c>
      <c r="J12" s="813">
        <v>31437.65</v>
      </c>
      <c r="K12" s="822">
        <f>ROUNDUP(AVERAGE(F12:I12)*1.02,-2)</f>
        <v>34000</v>
      </c>
      <c r="L12" s="814">
        <v>0</v>
      </c>
      <c r="M12" s="828">
        <f>ROUNDUP(AVERAGE(F12:I12)*1.02,-2)</f>
        <v>34000</v>
      </c>
      <c r="N12" s="829">
        <f>ROUNDUP(AVERAGE(F12:I12)*1.02^2,-2)</f>
        <v>34600</v>
      </c>
      <c r="O12" s="829">
        <f>ROUNDUP(AVERAGE(F12:I12)*1.02^2,-2)</f>
        <v>34600</v>
      </c>
      <c r="P12" s="830" t="s">
        <v>485</v>
      </c>
    </row>
    <row r="13" spans="1:16">
      <c r="A13" s="298" t="s">
        <v>108</v>
      </c>
      <c r="B13" s="813">
        <v>8408.2800000000007</v>
      </c>
      <c r="C13" s="814">
        <v>7692.23</v>
      </c>
      <c r="D13" s="813">
        <v>9169.9500000000007</v>
      </c>
      <c r="E13" s="813">
        <v>6020.8</v>
      </c>
      <c r="F13" s="813">
        <v>7769.49</v>
      </c>
      <c r="G13" s="813">
        <v>5603.62</v>
      </c>
      <c r="H13" s="813">
        <v>9478.26</v>
      </c>
      <c r="I13" s="823">
        <v>7073.47</v>
      </c>
      <c r="J13" s="813">
        <v>7073.47</v>
      </c>
      <c r="K13" s="822">
        <f>ROUNDUP(AVERAGE(F13:I13)*1.02,-2)</f>
        <v>7700</v>
      </c>
      <c r="L13" s="814">
        <v>0</v>
      </c>
      <c r="M13" s="828">
        <f>ROUNDUP(AVERAGE(F13:I13)*1.02,-2)</f>
        <v>7700</v>
      </c>
      <c r="N13" s="829">
        <f>ROUNDUP(AVERAGE(F13:I13)*1.02^2,-2)</f>
        <v>7800</v>
      </c>
      <c r="O13" s="829">
        <f>ROUNDUP(AVERAGE(F13:I13)*1.02^2,-2)</f>
        <v>7800</v>
      </c>
      <c r="P13" s="830" t="s">
        <v>486</v>
      </c>
    </row>
    <row r="14" spans="1:16">
      <c r="A14" s="298" t="s">
        <v>477</v>
      </c>
      <c r="B14" s="813">
        <v>270.47000000000003</v>
      </c>
      <c r="C14" s="814">
        <v>272.83999999999997</v>
      </c>
      <c r="D14" s="814">
        <v>0</v>
      </c>
      <c r="E14" s="813">
        <v>117.83</v>
      </c>
      <c r="F14" s="813">
        <v>0</v>
      </c>
      <c r="G14" s="813">
        <v>0</v>
      </c>
      <c r="H14" s="813">
        <v>0</v>
      </c>
      <c r="I14" s="822">
        <v>0</v>
      </c>
      <c r="J14" s="813">
        <v>0</v>
      </c>
      <c r="K14" s="822">
        <v>0</v>
      </c>
      <c r="L14" s="814">
        <v>0</v>
      </c>
      <c r="M14" s="825">
        <v>0</v>
      </c>
      <c r="N14" s="814">
        <v>0</v>
      </c>
      <c r="O14" s="814">
        <v>0</v>
      </c>
      <c r="P14" s="830"/>
    </row>
    <row r="15" spans="1:16">
      <c r="A15" s="298" t="s">
        <v>438</v>
      </c>
      <c r="B15" s="814">
        <f>SUM(B11:B14)</f>
        <v>316924.89</v>
      </c>
      <c r="C15" s="814">
        <f t="shared" ref="C15:O15" si="2">SUM(C11:C14)</f>
        <v>323554.83999999997</v>
      </c>
      <c r="D15" s="814">
        <f t="shared" si="2"/>
        <v>298212.37</v>
      </c>
      <c r="E15" s="814">
        <f t="shared" si="2"/>
        <v>281074.83</v>
      </c>
      <c r="F15" s="814">
        <f t="shared" si="2"/>
        <v>228746.56</v>
      </c>
      <c r="G15" s="814">
        <f t="shared" si="2"/>
        <v>197331.78</v>
      </c>
      <c r="H15" s="814">
        <f t="shared" si="2"/>
        <v>232483.21000000002</v>
      </c>
      <c r="I15" s="821">
        <f t="shared" si="2"/>
        <v>233633.52</v>
      </c>
      <c r="J15" s="814">
        <f t="shared" si="2"/>
        <v>233633.52</v>
      </c>
      <c r="K15" s="821">
        <f t="shared" si="2"/>
        <v>224836.80000000002</v>
      </c>
      <c r="L15" s="814">
        <f t="shared" si="2"/>
        <v>0</v>
      </c>
      <c r="M15" s="821">
        <f t="shared" si="2"/>
        <v>216688.80000000002</v>
      </c>
      <c r="N15" s="821">
        <f t="shared" si="2"/>
        <v>217212.4</v>
      </c>
      <c r="O15" s="821">
        <f t="shared" si="2"/>
        <v>217388.80000000002</v>
      </c>
      <c r="P15" s="830"/>
    </row>
    <row r="16" spans="1:16">
      <c r="A16" s="298"/>
      <c r="B16" s="813"/>
      <c r="C16" s="814"/>
      <c r="D16" s="813"/>
      <c r="E16" s="813"/>
      <c r="F16" s="813"/>
      <c r="G16" s="813"/>
      <c r="H16" s="813"/>
      <c r="I16" s="822"/>
      <c r="J16" s="813"/>
      <c r="K16" s="813"/>
      <c r="L16" s="814"/>
      <c r="M16" s="825"/>
      <c r="N16" s="814"/>
      <c r="O16" s="814"/>
      <c r="P16" s="830"/>
    </row>
    <row r="17" spans="1:16">
      <c r="A17" s="794" t="s">
        <v>419</v>
      </c>
      <c r="B17" s="817">
        <f>B8-B15</f>
        <v>29165.229999999981</v>
      </c>
      <c r="C17" s="817">
        <f t="shared" ref="C17:O17" si="3">C8-C15</f>
        <v>-25555.010000000009</v>
      </c>
      <c r="D17" s="817">
        <f t="shared" si="3"/>
        <v>-27610.179999999993</v>
      </c>
      <c r="E17" s="817">
        <f t="shared" si="3"/>
        <v>-120484.01000000001</v>
      </c>
      <c r="F17" s="817">
        <f t="shared" si="3"/>
        <v>-75281.87</v>
      </c>
      <c r="G17" s="817">
        <f t="shared" si="3"/>
        <v>37604.100000000006</v>
      </c>
      <c r="H17" s="817">
        <f t="shared" si="3"/>
        <v>17972.489999999932</v>
      </c>
      <c r="I17" s="817">
        <f t="shared" si="3"/>
        <v>35612.569999999978</v>
      </c>
      <c r="J17" s="817">
        <f t="shared" si="3"/>
        <v>-79661.030000000057</v>
      </c>
      <c r="K17" s="818">
        <f t="shared" si="3"/>
        <v>17933.369999999966</v>
      </c>
      <c r="L17" s="818">
        <f t="shared" si="3"/>
        <v>23936.179999999993</v>
      </c>
      <c r="M17" s="818">
        <f t="shared" si="3"/>
        <v>8175.7699999999313</v>
      </c>
      <c r="N17" s="818">
        <f t="shared" si="3"/>
        <v>14056.169999999925</v>
      </c>
      <c r="O17" s="818">
        <f t="shared" si="3"/>
        <v>3598.5699999998906</v>
      </c>
      <c r="P17" s="833" t="s">
        <v>484</v>
      </c>
    </row>
    <row r="20" spans="1:16">
      <c r="E20" s="820"/>
      <c r="F20" s="820"/>
      <c r="G20" s="820"/>
      <c r="H20" s="820"/>
    </row>
    <row r="22" spans="1:16">
      <c r="E22" s="820"/>
      <c r="F22" s="820"/>
    </row>
    <row r="25" spans="1:16">
      <c r="E25" s="819"/>
      <c r="F25" s="819"/>
      <c r="G25" s="819"/>
      <c r="H25" s="819"/>
      <c r="I25" s="819"/>
    </row>
    <row r="26" spans="1:16">
      <c r="H26" s="819"/>
      <c r="J26" s="819"/>
      <c r="K26" s="819"/>
    </row>
    <row r="27" spans="1:16">
      <c r="E27" s="820"/>
      <c r="F27" s="820"/>
      <c r="G27" s="820"/>
    </row>
  </sheetData>
  <mergeCells count="2">
    <mergeCell ref="I1:J1"/>
    <mergeCell ref="K1:L1"/>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BE43A5216F396489910E87C20E35119" ma:contentTypeVersion="5" ma:contentTypeDescription="Ein neues Dokument erstellen." ma:contentTypeScope="" ma:versionID="4a9410e47fa3dea7760cb87f12cfb951">
  <xsd:schema xmlns:xsd="http://www.w3.org/2001/XMLSchema" xmlns:xs="http://www.w3.org/2001/XMLSchema" xmlns:p="http://schemas.microsoft.com/office/2006/metadata/properties" xmlns:ns3="ccd7711d-2164-4d23-8ac0-8b32968f4fd0" targetNamespace="http://schemas.microsoft.com/office/2006/metadata/properties" ma:root="true" ma:fieldsID="9b50ca9ac674ca7df429fbdb7e325c39" ns3:_="">
    <xsd:import namespace="ccd7711d-2164-4d23-8ac0-8b32968f4fd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7711d-2164-4d23-8ac0-8b32968f4fd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30B393-CB87-4288-BAA9-197D80B56F61}">
  <ds:schemaRef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ccd7711d-2164-4d23-8ac0-8b32968f4fd0"/>
    <ds:schemaRef ds:uri="http://purl.org/dc/terms/"/>
  </ds:schemaRefs>
</ds:datastoreItem>
</file>

<file path=customXml/itemProps2.xml><?xml version="1.0" encoding="utf-8"?>
<ds:datastoreItem xmlns:ds="http://schemas.openxmlformats.org/officeDocument/2006/customXml" ds:itemID="{9B4EE3BD-F2A3-4085-A2B6-33FDAE00DF65}">
  <ds:schemaRefs>
    <ds:schemaRef ds:uri="http://schemas.microsoft.com/sharepoint/v3/contenttype/forms"/>
  </ds:schemaRefs>
</ds:datastoreItem>
</file>

<file path=customXml/itemProps3.xml><?xml version="1.0" encoding="utf-8"?>
<ds:datastoreItem xmlns:ds="http://schemas.openxmlformats.org/officeDocument/2006/customXml" ds:itemID="{E0F98E55-1787-4C20-B493-915FC4CBD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7711d-2164-4d23-8ac0-8b32968f4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Deckblatt</vt:lpstr>
      <vt:lpstr>Erläuterungen</vt:lpstr>
      <vt:lpstr>HH Aufgaben VS</vt:lpstr>
      <vt:lpstr>Semesterticket</vt:lpstr>
      <vt:lpstr>SeTiHäFo</vt:lpstr>
      <vt:lpstr>Deckblatt!Druckbereich</vt:lpstr>
      <vt:lpstr>Erläuterungen!Druckbereich</vt:lpstr>
      <vt:lpstr>'HH Aufgaben VS'!Druckbereich</vt:lpstr>
      <vt:lpstr>Semesterticket!Druckbereich</vt:lpstr>
      <vt:lpstr>SeTiHäFo!Druckbereich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Maximilian Hackländer</dc:creator>
  <dc:description/>
  <cp:lastModifiedBy>Maximilian Arndt</cp:lastModifiedBy>
  <cp:revision>5</cp:revision>
  <cp:lastPrinted>2025-07-02T09:16:23Z</cp:lastPrinted>
  <dcterms:created xsi:type="dcterms:W3CDTF">2021-06-10T14:51:08Z</dcterms:created>
  <dcterms:modified xsi:type="dcterms:W3CDTF">2025-08-28T14:41:25Z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0x010100CBE43A5216F396489910E87C20E35119</vt:lpwstr>
  </property>
</Properties>
</file>